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720" windowHeight="11325" activeTab="1"/>
  </bookViews>
  <sheets>
    <sheet name="Revised projections 2018" sheetId="3" r:id="rId1"/>
    <sheet name="Revised-Cost Apportionment" sheetId="1" r:id="rId2"/>
    <sheet name="ForecastDataExport" sheetId="5" r:id="rId3"/>
  </sheets>
  <externalReferences>
    <externalReference r:id="rId4"/>
    <externalReference r:id="rId5"/>
    <externalReference r:id="rId6"/>
  </externalReferences>
  <definedNames>
    <definedName name="FundingSource">[1]Lookups!$H$6:$H$11</definedName>
    <definedName name="_xlnm.Print_Titles" localSheetId="1">'Revised-Cost Apportionment'!$A:$D</definedName>
    <definedName name="ReportPRs" localSheetId="1">#REF!</definedName>
    <definedName name="ReportPRs">#REF!</definedName>
    <definedName name="ResourcePRs" localSheetId="1">#REF!</definedName>
    <definedName name="ResourcePRs">#REF!</definedName>
    <definedName name="ResponsibleLookup">[1]Lookups!$B$6:$C$29</definedName>
    <definedName name="SubProgram" localSheetId="1">#REF!</definedName>
    <definedName name="SubProgram">#REF!</definedName>
    <definedName name="Suburbs" localSheetId="1">#REF!</definedName>
    <definedName name="Suburbs">#REF!</definedName>
    <definedName name="YearLookup">[1]Lookups!$E$6:$F$25</definedName>
  </definedNames>
  <calcPr calcId="145621"/>
</workbook>
</file>

<file path=xl/calcChain.xml><?xml version="1.0" encoding="utf-8"?>
<calcChain xmlns="http://schemas.openxmlformats.org/spreadsheetml/2006/main">
  <c r="B50" i="1" l="1"/>
  <c r="B49" i="1"/>
  <c r="BD49" i="1"/>
  <c r="BM44" i="1"/>
  <c r="K44" i="1" l="1"/>
  <c r="B198" i="1" l="1"/>
  <c r="K207" i="1" l="1"/>
  <c r="N206" i="1"/>
  <c r="O206" i="1" s="1"/>
  <c r="M206" i="1"/>
  <c r="M207" i="1" s="1"/>
  <c r="N205" i="1"/>
  <c r="O205" i="1" s="1"/>
  <c r="N204" i="1"/>
  <c r="O204" i="1" s="1"/>
  <c r="N203" i="1"/>
  <c r="O203" i="1" s="1"/>
  <c r="K200" i="1"/>
  <c r="C200" i="1"/>
  <c r="N199" i="1"/>
  <c r="B199" i="1"/>
  <c r="D199" i="1" s="1"/>
  <c r="N198" i="1"/>
  <c r="D198" i="1"/>
  <c r="C195" i="1"/>
  <c r="N194" i="1"/>
  <c r="H194" i="1"/>
  <c r="G194" i="1"/>
  <c r="D194" i="1"/>
  <c r="N193" i="1"/>
  <c r="O193" i="1" s="1"/>
  <c r="K193" i="1"/>
  <c r="H193" i="1"/>
  <c r="G193" i="1"/>
  <c r="I193" i="1" s="1"/>
  <c r="D193" i="1"/>
  <c r="H192" i="1"/>
  <c r="N192" i="1" s="1"/>
  <c r="G192" i="1"/>
  <c r="I192" i="1" s="1"/>
  <c r="K192" i="1" s="1"/>
  <c r="D192" i="1"/>
  <c r="H191" i="1"/>
  <c r="N191" i="1" s="1"/>
  <c r="G191" i="1"/>
  <c r="M191" i="1" s="1"/>
  <c r="B191" i="1"/>
  <c r="D191" i="1" s="1"/>
  <c r="H189" i="1"/>
  <c r="N189" i="1" s="1"/>
  <c r="G189" i="1"/>
  <c r="B189" i="1"/>
  <c r="D189" i="1" s="1"/>
  <c r="H188" i="1"/>
  <c r="N188" i="1" s="1"/>
  <c r="G188" i="1"/>
  <c r="I188" i="1" s="1"/>
  <c r="B188" i="1"/>
  <c r="D188" i="1" s="1"/>
  <c r="O191" i="1" l="1"/>
  <c r="O207" i="1"/>
  <c r="I191" i="1"/>
  <c r="D195" i="1"/>
  <c r="K188" i="1"/>
  <c r="D200" i="1"/>
  <c r="K191" i="1"/>
  <c r="M188" i="1"/>
  <c r="I189" i="1"/>
  <c r="M192" i="1"/>
  <c r="O192" i="1" s="1"/>
  <c r="B195" i="1"/>
  <c r="M198" i="1"/>
  <c r="B200" i="1"/>
  <c r="I194" i="1"/>
  <c r="K194" i="1" s="1"/>
  <c r="M199" i="1"/>
  <c r="O199" i="1" s="1"/>
  <c r="AJ10" i="3"/>
  <c r="AJ11" i="3" s="1"/>
  <c r="AJ12" i="3" s="1"/>
  <c r="AJ13" i="3" s="1"/>
  <c r="AJ14" i="3" s="1"/>
  <c r="AJ15" i="3" s="1"/>
  <c r="AH9" i="3"/>
  <c r="AH10" i="3" s="1"/>
  <c r="AH11" i="3" s="1"/>
  <c r="AH12" i="3" s="1"/>
  <c r="AH13" i="3" s="1"/>
  <c r="AH14" i="3" s="1"/>
  <c r="AH15" i="3" s="1"/>
  <c r="M189" i="1" l="1"/>
  <c r="O189" i="1" s="1"/>
  <c r="K189" i="1"/>
  <c r="K195" i="1" s="1"/>
  <c r="K209" i="1" s="1"/>
  <c r="M194" i="1"/>
  <c r="O194" i="1" s="1"/>
  <c r="O198" i="1"/>
  <c r="O200" i="1" s="1"/>
  <c r="M200" i="1"/>
  <c r="O188" i="1"/>
  <c r="O195" i="1" l="1"/>
  <c r="O209" i="1" s="1"/>
  <c r="M195" i="1"/>
  <c r="M209" i="1" s="1"/>
  <c r="BO54" i="1" l="1"/>
  <c r="K33" i="3"/>
  <c r="W33" i="3"/>
  <c r="V33" i="3"/>
  <c r="U33" i="3"/>
  <c r="T33" i="3"/>
  <c r="S33" i="3"/>
  <c r="R33" i="3"/>
  <c r="F31" i="3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3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" i="5"/>
  <c r="K6" i="3"/>
  <c r="K7" i="3"/>
  <c r="K9" i="3"/>
  <c r="K10" i="3"/>
  <c r="K11" i="3"/>
  <c r="K12" i="3"/>
  <c r="K13" i="3"/>
  <c r="K14" i="3"/>
  <c r="K15" i="3"/>
  <c r="K16" i="3"/>
  <c r="K5" i="3"/>
  <c r="J18" i="3"/>
  <c r="J31" i="3" s="1"/>
  <c r="L10" i="3"/>
  <c r="BD40" i="1"/>
  <c r="BD41" i="1"/>
  <c r="BD42" i="1"/>
  <c r="BD43" i="1"/>
  <c r="BD44" i="1"/>
  <c r="BD45" i="1"/>
  <c r="BD39" i="1"/>
  <c r="Y39" i="1"/>
  <c r="AA39" i="1" s="1"/>
  <c r="Y40" i="1"/>
  <c r="AA40" i="1"/>
  <c r="AD40" i="1" s="1"/>
  <c r="AB40" i="1"/>
  <c r="Y42" i="1"/>
  <c r="AA42" i="1"/>
  <c r="AD42" i="1" s="1"/>
  <c r="AB42" i="1"/>
  <c r="T43" i="1"/>
  <c r="V43" i="1"/>
  <c r="Y43" i="1"/>
  <c r="AA43" i="1"/>
  <c r="AB43" i="1" s="1"/>
  <c r="T44" i="1"/>
  <c r="V44" i="1"/>
  <c r="Y44" i="1"/>
  <c r="AA44" i="1" s="1"/>
  <c r="AC44" i="1"/>
  <c r="AG44" i="1"/>
  <c r="T45" i="1"/>
  <c r="V45" i="1" s="1"/>
  <c r="AC45" i="1" s="1"/>
  <c r="Y45" i="1"/>
  <c r="AA45" i="1"/>
  <c r="AD45" i="1" s="1"/>
  <c r="AE45" i="1" s="1"/>
  <c r="AG45" i="1" s="1"/>
  <c r="AB45" i="1"/>
  <c r="U46" i="1"/>
  <c r="T49" i="1"/>
  <c r="AE49" i="1" s="1"/>
  <c r="V49" i="1"/>
  <c r="V51" i="1" s="1"/>
  <c r="T50" i="1"/>
  <c r="AE50" i="1" s="1"/>
  <c r="AG50" i="1" s="1"/>
  <c r="V50" i="1"/>
  <c r="T51" i="1"/>
  <c r="U51" i="1"/>
  <c r="AC51" i="1"/>
  <c r="AG54" i="1"/>
  <c r="AE56" i="1"/>
  <c r="AG56" i="1" s="1"/>
  <c r="AC58" i="1"/>
  <c r="J32" i="3" l="1"/>
  <c r="K32" i="3" s="1"/>
  <c r="AC43" i="1"/>
  <c r="X32" i="3"/>
  <c r="X33" i="3"/>
  <c r="AG49" i="1"/>
  <c r="AG51" i="1" s="1"/>
  <c r="AE51" i="1"/>
  <c r="AB39" i="1"/>
  <c r="AD39" i="1"/>
  <c r="AD43" i="1"/>
  <c r="AE43" i="1" s="1"/>
  <c r="AG43" i="1" s="1"/>
  <c r="B40" i="1" l="1"/>
  <c r="T40" i="1" s="1"/>
  <c r="V40" i="1" s="1"/>
  <c r="AC40" i="1" l="1"/>
  <c r="AE40" i="1"/>
  <c r="AG40" i="1" s="1"/>
  <c r="R18" i="3"/>
  <c r="Q18" i="3"/>
  <c r="P18" i="3"/>
  <c r="L18" i="3"/>
  <c r="I18" i="3"/>
  <c r="G18" i="3"/>
  <c r="E18" i="3"/>
  <c r="D18" i="3"/>
  <c r="C18" i="3"/>
  <c r="F17" i="3"/>
  <c r="T17" i="3" s="1"/>
  <c r="S16" i="3"/>
  <c r="F16" i="3"/>
  <c r="T16" i="3" s="1"/>
  <c r="S15" i="3"/>
  <c r="F15" i="3"/>
  <c r="S14" i="3"/>
  <c r="O18" i="3"/>
  <c r="F14" i="3"/>
  <c r="S13" i="3"/>
  <c r="T13" i="3" s="1"/>
  <c r="F13" i="3"/>
  <c r="N18" i="3"/>
  <c r="M18" i="3"/>
  <c r="F12" i="3"/>
  <c r="S11" i="3"/>
  <c r="F11" i="3"/>
  <c r="T11" i="3" s="1"/>
  <c r="S10" i="3"/>
  <c r="F10" i="3"/>
  <c r="S9" i="3"/>
  <c r="F9" i="3"/>
  <c r="T9" i="3" s="1"/>
  <c r="S8" i="3"/>
  <c r="H8" i="3"/>
  <c r="F8" i="3"/>
  <c r="S7" i="3"/>
  <c r="F7" i="3"/>
  <c r="S6" i="3"/>
  <c r="F6" i="3"/>
  <c r="S5" i="3"/>
  <c r="F5" i="3"/>
  <c r="H147" i="1"/>
  <c r="H146" i="1"/>
  <c r="C135" i="1"/>
  <c r="B119" i="1"/>
  <c r="F119" i="1" s="1"/>
  <c r="D99" i="1"/>
  <c r="H98" i="1"/>
  <c r="N98" i="1" s="1"/>
  <c r="P98" i="1" s="1"/>
  <c r="D97" i="1"/>
  <c r="J96" i="1"/>
  <c r="H96" i="1"/>
  <c r="P91" i="1"/>
  <c r="N91" i="1"/>
  <c r="L86" i="1"/>
  <c r="J86" i="1"/>
  <c r="H86" i="1"/>
  <c r="D86" i="1"/>
  <c r="L85" i="1"/>
  <c r="L81" i="1"/>
  <c r="P77" i="1"/>
  <c r="J77" i="1"/>
  <c r="D77" i="1"/>
  <c r="D76" i="1"/>
  <c r="O75" i="1"/>
  <c r="O78" i="1" s="1"/>
  <c r="M75" i="1"/>
  <c r="M78" i="1" s="1"/>
  <c r="I75" i="1"/>
  <c r="I78" i="1" s="1"/>
  <c r="G75" i="1"/>
  <c r="D130" i="1" s="1"/>
  <c r="C75" i="1"/>
  <c r="C78" i="1" s="1"/>
  <c r="BM58" i="1"/>
  <c r="AU58" i="1"/>
  <c r="K58" i="1"/>
  <c r="M57" i="1"/>
  <c r="AE57" i="1" s="1"/>
  <c r="AG57" i="1" s="1"/>
  <c r="J98" i="1"/>
  <c r="BQ54" i="1"/>
  <c r="AY54" i="1"/>
  <c r="BM51" i="1"/>
  <c r="BE51" i="1"/>
  <c r="AU51" i="1"/>
  <c r="AM51" i="1"/>
  <c r="K51" i="1"/>
  <c r="C51" i="1"/>
  <c r="BD50" i="1"/>
  <c r="BF50" i="1" s="1"/>
  <c r="AL50" i="1"/>
  <c r="AN50" i="1" s="1"/>
  <c r="J92" i="1"/>
  <c r="D50" i="1"/>
  <c r="BO49" i="1"/>
  <c r="BF49" i="1"/>
  <c r="AL49" i="1"/>
  <c r="AN49" i="1" s="1"/>
  <c r="D49" i="1"/>
  <c r="BE46" i="1"/>
  <c r="AM46" i="1"/>
  <c r="C46" i="1"/>
  <c r="BF45" i="1"/>
  <c r="AQ45" i="1"/>
  <c r="AN45" i="1"/>
  <c r="I87" i="1"/>
  <c r="D45" i="1"/>
  <c r="F87" i="1" s="1"/>
  <c r="BF44" i="1"/>
  <c r="AY44" i="1"/>
  <c r="AU44" i="1"/>
  <c r="AQ44" i="1"/>
  <c r="AS44" i="1" s="1"/>
  <c r="AN44" i="1"/>
  <c r="I86" i="1"/>
  <c r="G86" i="1"/>
  <c r="D44" i="1"/>
  <c r="F86" i="1" s="1"/>
  <c r="BF43" i="1"/>
  <c r="AQ43" i="1"/>
  <c r="AS43" i="1" s="1"/>
  <c r="AT43" i="1" s="1"/>
  <c r="AN43" i="1"/>
  <c r="D43" i="1"/>
  <c r="F85" i="1" s="1"/>
  <c r="AQ42" i="1"/>
  <c r="AS42" i="1" s="1"/>
  <c r="AT42" i="1" s="1"/>
  <c r="B42" i="1"/>
  <c r="T42" i="1" s="1"/>
  <c r="V42" i="1" s="1"/>
  <c r="BF40" i="1"/>
  <c r="AQ40" i="1"/>
  <c r="AN40" i="1"/>
  <c r="I82" i="1"/>
  <c r="D40" i="1"/>
  <c r="F82" i="1" s="1"/>
  <c r="AQ39" i="1"/>
  <c r="AS39" i="1" s="1"/>
  <c r="AV39" i="1" s="1"/>
  <c r="AL39" i="1"/>
  <c r="B39" i="1"/>
  <c r="T39" i="1" s="1"/>
  <c r="K27" i="1"/>
  <c r="O26" i="1"/>
  <c r="M25" i="1"/>
  <c r="M27" i="1" s="1"/>
  <c r="K22" i="1"/>
  <c r="C22" i="1"/>
  <c r="B21" i="1"/>
  <c r="M21" i="1" s="1"/>
  <c r="M20" i="1"/>
  <c r="D20" i="1"/>
  <c r="B19" i="1"/>
  <c r="M19" i="1" s="1"/>
  <c r="O19" i="1" s="1"/>
  <c r="B18" i="1"/>
  <c r="D18" i="1" s="1"/>
  <c r="C15" i="1"/>
  <c r="B15" i="1"/>
  <c r="I14" i="1"/>
  <c r="L14" i="1" s="1"/>
  <c r="D14" i="1"/>
  <c r="B87" i="1" s="1"/>
  <c r="O13" i="1"/>
  <c r="I13" i="1"/>
  <c r="D13" i="1"/>
  <c r="B86" i="1" s="1"/>
  <c r="I12" i="1"/>
  <c r="D12" i="1"/>
  <c r="B85" i="1" s="1"/>
  <c r="I11" i="1"/>
  <c r="J11" i="1" s="1"/>
  <c r="D11" i="1"/>
  <c r="I9" i="1"/>
  <c r="J9" i="1" s="1"/>
  <c r="C74" i="1" s="1"/>
  <c r="D9" i="1"/>
  <c r="B82" i="1" s="1"/>
  <c r="I8" i="1"/>
  <c r="C138" i="1" s="1"/>
  <c r="D8" i="1"/>
  <c r="B81" i="1" s="1"/>
  <c r="D51" i="1" l="1"/>
  <c r="Q31" i="3"/>
  <c r="T15" i="3"/>
  <c r="P31" i="3"/>
  <c r="M31" i="3"/>
  <c r="N31" i="3"/>
  <c r="K31" i="3"/>
  <c r="X31" i="3" s="1"/>
  <c r="L31" i="3"/>
  <c r="O31" i="3"/>
  <c r="T10" i="3"/>
  <c r="T6" i="3"/>
  <c r="F18" i="3"/>
  <c r="H18" i="3"/>
  <c r="K8" i="3"/>
  <c r="K18" i="3" s="1"/>
  <c r="T7" i="3"/>
  <c r="AC42" i="1"/>
  <c r="I84" i="1" s="1"/>
  <c r="AE42" i="1"/>
  <c r="AG42" i="1" s="1"/>
  <c r="AE55" i="1"/>
  <c r="T46" i="1"/>
  <c r="V39" i="1"/>
  <c r="B46" i="1"/>
  <c r="AU43" i="1"/>
  <c r="BF51" i="1"/>
  <c r="D78" i="1"/>
  <c r="L9" i="1"/>
  <c r="D74" i="1" s="1"/>
  <c r="D19" i="1"/>
  <c r="M14" i="1"/>
  <c r="D87" i="1" s="1"/>
  <c r="AV43" i="1"/>
  <c r="M49" i="1"/>
  <c r="J14" i="1"/>
  <c r="K14" i="1" s="1"/>
  <c r="C87" i="1" s="1"/>
  <c r="B123" i="1" s="1"/>
  <c r="M18" i="1"/>
  <c r="O18" i="1" s="1"/>
  <c r="L8" i="1"/>
  <c r="M8" i="1" s="1"/>
  <c r="AW43" i="1"/>
  <c r="AY43" i="1" s="1"/>
  <c r="BO50" i="1"/>
  <c r="BQ50" i="1" s="1"/>
  <c r="L11" i="1"/>
  <c r="AS40" i="1"/>
  <c r="AT40" i="1" s="1"/>
  <c r="AU40" i="1" s="1"/>
  <c r="AN51" i="1"/>
  <c r="AW50" i="1"/>
  <c r="AY50" i="1" s="1"/>
  <c r="J8" i="1"/>
  <c r="K8" i="1" s="1"/>
  <c r="C81" i="1" s="1"/>
  <c r="K13" i="1"/>
  <c r="C86" i="1" s="1"/>
  <c r="B122" i="1" s="1"/>
  <c r="B22" i="1"/>
  <c r="AW49" i="1"/>
  <c r="M50" i="1"/>
  <c r="H92" i="1" s="1"/>
  <c r="N92" i="1" s="1"/>
  <c r="N93" i="1" s="1"/>
  <c r="T14" i="3"/>
  <c r="T5" i="3"/>
  <c r="S12" i="3"/>
  <c r="S18" i="3" s="1"/>
  <c r="L12" i="1"/>
  <c r="M12" i="1" s="1"/>
  <c r="J12" i="1"/>
  <c r="K12" i="1" s="1"/>
  <c r="C85" i="1" s="1"/>
  <c r="B121" i="1" s="1"/>
  <c r="B117" i="1"/>
  <c r="E144" i="1"/>
  <c r="H144" i="1" s="1"/>
  <c r="AS45" i="1"/>
  <c r="AT45" i="1" s="1"/>
  <c r="AU45" i="1" s="1"/>
  <c r="D81" i="1"/>
  <c r="M11" i="1"/>
  <c r="O8" i="1"/>
  <c r="O21" i="1"/>
  <c r="D96" i="1"/>
  <c r="D100" i="1" s="1"/>
  <c r="O25" i="1"/>
  <c r="O27" i="1" s="1"/>
  <c r="O74" i="1"/>
  <c r="O86" i="1" s="1"/>
  <c r="I74" i="1"/>
  <c r="AT39" i="1"/>
  <c r="AL42" i="1"/>
  <c r="AL46" i="1" s="1"/>
  <c r="I85" i="1"/>
  <c r="B84" i="1"/>
  <c r="B88" i="1" s="1"/>
  <c r="K11" i="1"/>
  <c r="C84" i="1" s="1"/>
  <c r="B120" i="1" s="1"/>
  <c r="G149" i="1"/>
  <c r="H149" i="1" s="1"/>
  <c r="J82" i="1"/>
  <c r="D91" i="1"/>
  <c r="O20" i="1"/>
  <c r="AN39" i="1"/>
  <c r="AW39" i="1" s="1"/>
  <c r="K9" i="1"/>
  <c r="C82" i="1" s="1"/>
  <c r="B118" i="1" s="1"/>
  <c r="M9" i="1"/>
  <c r="D39" i="1"/>
  <c r="BF39" i="1"/>
  <c r="L82" i="1"/>
  <c r="L88" i="1" s="1"/>
  <c r="AV42" i="1"/>
  <c r="D15" i="1"/>
  <c r="D21" i="1"/>
  <c r="D42" i="1"/>
  <c r="C122" i="1"/>
  <c r="F122" i="1" s="1"/>
  <c r="L87" i="1"/>
  <c r="J91" i="1"/>
  <c r="F130" i="1"/>
  <c r="E130" i="1"/>
  <c r="C130" i="1"/>
  <c r="C79" i="1"/>
  <c r="N76" i="1"/>
  <c r="J76" i="1"/>
  <c r="J78" i="1" s="1"/>
  <c r="E135" i="1" s="1"/>
  <c r="P76" i="1"/>
  <c r="P78" i="1" s="1"/>
  <c r="O79" i="1" s="1"/>
  <c r="J99" i="1"/>
  <c r="AW57" i="1"/>
  <c r="BD51" i="1"/>
  <c r="G78" i="1"/>
  <c r="H97" i="1"/>
  <c r="N97" i="1" s="1"/>
  <c r="P97" i="1" s="1"/>
  <c r="AY49" i="1"/>
  <c r="AY51" i="1" s="1"/>
  <c r="BQ49" i="1"/>
  <c r="AW56" i="1"/>
  <c r="N96" i="1"/>
  <c r="J97" i="1"/>
  <c r="H99" i="1"/>
  <c r="N99" i="1" s="1"/>
  <c r="P99" i="1" s="1"/>
  <c r="B51" i="1"/>
  <c r="AL51" i="1"/>
  <c r="M58" i="1"/>
  <c r="O85" i="1"/>
  <c r="D92" i="1" l="1"/>
  <c r="P92" i="1"/>
  <c r="P93" i="1" s="1"/>
  <c r="M51" i="1"/>
  <c r="C133" i="1"/>
  <c r="M22" i="1"/>
  <c r="D22" i="1"/>
  <c r="D93" i="1"/>
  <c r="O55" i="1"/>
  <c r="O54" i="1"/>
  <c r="O50" i="1"/>
  <c r="O56" i="1"/>
  <c r="O49" i="1"/>
  <c r="O57" i="1"/>
  <c r="G45" i="1"/>
  <c r="BI45" i="1" s="1"/>
  <c r="BJ45" i="1" s="1"/>
  <c r="G40" i="1"/>
  <c r="BI40" i="1" s="1"/>
  <c r="BJ40" i="1" s="1"/>
  <c r="G44" i="1"/>
  <c r="BI44" i="1" s="1"/>
  <c r="BJ44" i="1" s="1"/>
  <c r="G39" i="1"/>
  <c r="G43" i="1"/>
  <c r="BI43" i="1" s="1"/>
  <c r="BJ43" i="1" s="1"/>
  <c r="G42" i="1"/>
  <c r="BI42" i="1" s="1"/>
  <c r="BJ42" i="1" s="1"/>
  <c r="T8" i="3"/>
  <c r="H91" i="1"/>
  <c r="D133" i="1" s="1"/>
  <c r="J100" i="1"/>
  <c r="AE58" i="1"/>
  <c r="AG55" i="1"/>
  <c r="AG58" i="1" s="1"/>
  <c r="AW55" i="1"/>
  <c r="O22" i="1"/>
  <c r="AC39" i="1"/>
  <c r="V46" i="1"/>
  <c r="AE39" i="1"/>
  <c r="AW51" i="1"/>
  <c r="E138" i="1"/>
  <c r="O14" i="1"/>
  <c r="BQ51" i="1"/>
  <c r="BO51" i="1"/>
  <c r="C120" i="1"/>
  <c r="AV45" i="1"/>
  <c r="AW45" i="1" s="1"/>
  <c r="AY45" i="1" s="1"/>
  <c r="AV40" i="1"/>
  <c r="AW40" i="1" s="1"/>
  <c r="AY40" i="1" s="1"/>
  <c r="T12" i="3"/>
  <c r="P96" i="1"/>
  <c r="P100" i="1" s="1"/>
  <c r="N100" i="1"/>
  <c r="J87" i="1"/>
  <c r="F81" i="1"/>
  <c r="D46" i="1"/>
  <c r="AY39" i="1"/>
  <c r="E118" i="1"/>
  <c r="E124" i="1" s="1"/>
  <c r="C88" i="1"/>
  <c r="E148" i="1"/>
  <c r="H148" i="1" s="1"/>
  <c r="BO56" i="1"/>
  <c r="AY56" i="1"/>
  <c r="H100" i="1"/>
  <c r="BO57" i="1"/>
  <c r="BQ57" i="1" s="1"/>
  <c r="AY57" i="1"/>
  <c r="J84" i="1"/>
  <c r="P82" i="1"/>
  <c r="O82" i="1"/>
  <c r="O112" i="1" s="1"/>
  <c r="D84" i="1"/>
  <c r="O11" i="1"/>
  <c r="B124" i="1"/>
  <c r="D85" i="1"/>
  <c r="O12" i="1"/>
  <c r="P74" i="1"/>
  <c r="P87" i="1" s="1"/>
  <c r="J74" i="1"/>
  <c r="G150" i="1"/>
  <c r="H150" i="1" s="1"/>
  <c r="F84" i="1"/>
  <c r="D82" i="1"/>
  <c r="O9" i="1"/>
  <c r="E145" i="1"/>
  <c r="H145" i="1" s="1"/>
  <c r="AN42" i="1"/>
  <c r="AU42" i="1" s="1"/>
  <c r="O84" i="1"/>
  <c r="O83" i="1"/>
  <c r="O81" i="1"/>
  <c r="M15" i="1"/>
  <c r="J85" i="1"/>
  <c r="K15" i="1"/>
  <c r="I111" i="1"/>
  <c r="I79" i="1"/>
  <c r="J93" i="1"/>
  <c r="E133" i="1"/>
  <c r="O87" i="1"/>
  <c r="O111" i="1" s="1"/>
  <c r="AU39" i="1"/>
  <c r="F120" i="1"/>
  <c r="C121" i="1"/>
  <c r="F121" i="1" s="1"/>
  <c r="I112" i="1"/>
  <c r="D123" i="1"/>
  <c r="D124" i="1" s="1"/>
  <c r="BI39" i="1" l="1"/>
  <c r="BJ39" i="1" s="1"/>
  <c r="BP39" i="1" s="1"/>
  <c r="H93" i="1"/>
  <c r="N44" i="1"/>
  <c r="O44" i="1" s="1"/>
  <c r="N40" i="1"/>
  <c r="O51" i="1"/>
  <c r="N42" i="1"/>
  <c r="I44" i="1"/>
  <c r="N45" i="1"/>
  <c r="N43" i="1"/>
  <c r="T18" i="3"/>
  <c r="T20" i="3" s="1"/>
  <c r="O58" i="1"/>
  <c r="I42" i="1"/>
  <c r="J42" i="1" s="1"/>
  <c r="K42" i="1" s="1"/>
  <c r="I40" i="1"/>
  <c r="J40" i="1" s="1"/>
  <c r="K40" i="1" s="1"/>
  <c r="N39" i="1"/>
  <c r="N77" i="1"/>
  <c r="N78" i="1" s="1"/>
  <c r="M79" i="1" s="1"/>
  <c r="H77" i="1"/>
  <c r="I43" i="1"/>
  <c r="J43" i="1" s="1"/>
  <c r="K43" i="1" s="1"/>
  <c r="I45" i="1"/>
  <c r="J45" i="1" s="1"/>
  <c r="K45" i="1" s="1"/>
  <c r="H76" i="1"/>
  <c r="I39" i="1"/>
  <c r="J39" i="1" s="1"/>
  <c r="AE46" i="1"/>
  <c r="AE60" i="1" s="1"/>
  <c r="AG39" i="1"/>
  <c r="AG46" i="1" s="1"/>
  <c r="AG60" i="1" s="1"/>
  <c r="AY55" i="1"/>
  <c r="AW58" i="1"/>
  <c r="BO55" i="1"/>
  <c r="AY58" i="1"/>
  <c r="AC46" i="1"/>
  <c r="AC60" i="1" s="1"/>
  <c r="I81" i="1"/>
  <c r="D88" i="1"/>
  <c r="D102" i="1" s="1"/>
  <c r="O15" i="1"/>
  <c r="O29" i="1" s="1"/>
  <c r="C136" i="1" s="1"/>
  <c r="AW42" i="1"/>
  <c r="AY42" i="1" s="1"/>
  <c r="AY46" i="1" s="1"/>
  <c r="AN46" i="1"/>
  <c r="F118" i="1"/>
  <c r="AU46" i="1"/>
  <c r="AU60" i="1" s="1"/>
  <c r="J81" i="1"/>
  <c r="J88" i="1" s="1"/>
  <c r="F88" i="1"/>
  <c r="C132" i="1"/>
  <c r="C134" i="1" s="1"/>
  <c r="M29" i="1"/>
  <c r="F123" i="1"/>
  <c r="P84" i="1"/>
  <c r="P83" i="1"/>
  <c r="P81" i="1"/>
  <c r="P85" i="1"/>
  <c r="P86" i="1"/>
  <c r="BQ56" i="1"/>
  <c r="F133" i="1"/>
  <c r="C129" i="1"/>
  <c r="K29" i="1"/>
  <c r="O88" i="1"/>
  <c r="O110" i="1"/>
  <c r="O113" i="1" s="1"/>
  <c r="BF42" i="1"/>
  <c r="BD46" i="1"/>
  <c r="L39" i="1" l="1"/>
  <c r="H78" i="1"/>
  <c r="D135" i="1" s="1"/>
  <c r="D138" i="1" s="1"/>
  <c r="BP42" i="1"/>
  <c r="BL42" i="1"/>
  <c r="BM42" i="1" s="1"/>
  <c r="L45" i="1"/>
  <c r="M45" i="1" s="1"/>
  <c r="O45" i="1" s="1"/>
  <c r="BP45" i="1"/>
  <c r="F135" i="1"/>
  <c r="F138" i="1" s="1"/>
  <c r="BL45" i="1"/>
  <c r="BM45" i="1" s="1"/>
  <c r="BP40" i="1"/>
  <c r="BL40" i="1"/>
  <c r="BM40" i="1" s="1"/>
  <c r="BP43" i="1"/>
  <c r="BL43" i="1"/>
  <c r="BM43" i="1" s="1"/>
  <c r="BL39" i="1"/>
  <c r="BM39" i="1" s="1"/>
  <c r="BN39" i="1"/>
  <c r="BO39" i="1" s="1"/>
  <c r="BQ39" i="1" s="1"/>
  <c r="BP44" i="1"/>
  <c r="BQ44" i="1" s="1"/>
  <c r="L42" i="1"/>
  <c r="M42" i="1" s="1"/>
  <c r="O42" i="1" s="1"/>
  <c r="L40" i="1"/>
  <c r="M40" i="1" s="1"/>
  <c r="O40" i="1" s="1"/>
  <c r="N74" i="1"/>
  <c r="M74" i="1"/>
  <c r="G74" i="1"/>
  <c r="K39" i="1"/>
  <c r="K46" i="1" s="1"/>
  <c r="K60" i="1" s="1"/>
  <c r="L43" i="1"/>
  <c r="M43" i="1" s="1"/>
  <c r="O43" i="1" s="1"/>
  <c r="AY60" i="1"/>
  <c r="BQ55" i="1"/>
  <c r="BQ58" i="1" s="1"/>
  <c r="BO58" i="1"/>
  <c r="C117" i="1"/>
  <c r="I88" i="1"/>
  <c r="E129" i="1" s="1"/>
  <c r="I110" i="1"/>
  <c r="I113" i="1" s="1"/>
  <c r="AW46" i="1"/>
  <c r="AW60" i="1" s="1"/>
  <c r="E132" i="1"/>
  <c r="E134" i="1" s="1"/>
  <c r="J102" i="1"/>
  <c r="E136" i="1" s="1"/>
  <c r="BF46" i="1"/>
  <c r="P88" i="1"/>
  <c r="P102" i="1" s="1"/>
  <c r="BN40" i="1" l="1"/>
  <c r="BO40" i="1" s="1"/>
  <c r="BQ40" i="1" s="1"/>
  <c r="G79" i="1"/>
  <c r="BN43" i="1"/>
  <c r="BO43" i="1" s="1"/>
  <c r="BQ43" i="1" s="1"/>
  <c r="BN42" i="1"/>
  <c r="BO42" i="1" s="1"/>
  <c r="BM46" i="1"/>
  <c r="F129" i="1" s="1"/>
  <c r="BN45" i="1"/>
  <c r="BO45" i="1" s="1"/>
  <c r="BQ45" i="1" s="1"/>
  <c r="M39" i="1"/>
  <c r="M46" i="1" s="1"/>
  <c r="M60" i="1" s="1"/>
  <c r="H74" i="1"/>
  <c r="H85" i="1" s="1"/>
  <c r="G85" i="1"/>
  <c r="G87" i="1"/>
  <c r="G82" i="1"/>
  <c r="G84" i="1"/>
  <c r="G81" i="1"/>
  <c r="N81" i="1"/>
  <c r="N82" i="1"/>
  <c r="N85" i="1"/>
  <c r="N84" i="1"/>
  <c r="N83" i="1"/>
  <c r="N87" i="1"/>
  <c r="N86" i="1"/>
  <c r="M86" i="1"/>
  <c r="M81" i="1"/>
  <c r="M84" i="1"/>
  <c r="M83" i="1"/>
  <c r="M87" i="1"/>
  <c r="M85" i="1"/>
  <c r="M82" i="1"/>
  <c r="C124" i="1"/>
  <c r="F117" i="1"/>
  <c r="F124" i="1" s="1"/>
  <c r="BO46" i="1" l="1"/>
  <c r="F132" i="1" s="1"/>
  <c r="F134" i="1" s="1"/>
  <c r="H81" i="1"/>
  <c r="BQ42" i="1"/>
  <c r="BQ46" i="1" s="1"/>
  <c r="BQ60" i="1" s="1"/>
  <c r="F136" i="1" s="1"/>
  <c r="H84" i="1"/>
  <c r="H82" i="1"/>
  <c r="BM60" i="1"/>
  <c r="H87" i="1"/>
  <c r="O39" i="1"/>
  <c r="O46" i="1" s="1"/>
  <c r="O60" i="1" s="1"/>
  <c r="M88" i="1"/>
  <c r="N88" i="1"/>
  <c r="N102" i="1" s="1"/>
  <c r="G88" i="1"/>
  <c r="D129" i="1" s="1"/>
  <c r="BO60" i="1" l="1"/>
  <c r="H88" i="1"/>
  <c r="H102" i="1" s="1"/>
  <c r="D136" i="1" s="1"/>
  <c r="D132" i="1" l="1"/>
  <c r="D134" i="1" s="1"/>
</calcChain>
</file>

<file path=xl/sharedStrings.xml><?xml version="1.0" encoding="utf-8"?>
<sst xmlns="http://schemas.openxmlformats.org/spreadsheetml/2006/main" count="604" uniqueCount="193">
  <si>
    <t>Projected Costs</t>
  </si>
  <si>
    <t>Catchment</t>
  </si>
  <si>
    <t>Cost Apportionment</t>
  </si>
  <si>
    <t>Existing Dwellings</t>
  </si>
  <si>
    <t>New Dwellings</t>
  </si>
  <si>
    <t>Infrastructure Item</t>
  </si>
  <si>
    <t>Total Cost</t>
  </si>
  <si>
    <t>Grants &amp; Other Contributions</t>
  </si>
  <si>
    <t>Net Project Cost</t>
  </si>
  <si>
    <t>Existing Dwellings pre-LPP 3.3</t>
  </si>
  <si>
    <t>Lots/Dwellings  contributed under LPP 3.3</t>
  </si>
  <si>
    <t>Dwellings Contributed to date</t>
  </si>
  <si>
    <t>New Dwellings to 23/24</t>
  </si>
  <si>
    <t>Total Catchment</t>
  </si>
  <si>
    <t>City Contribution (%)</t>
  </si>
  <si>
    <t>City Cost ($)</t>
  </si>
  <si>
    <t>DCP Contribution (%)</t>
  </si>
  <si>
    <t>DCP Cost 
($)</t>
  </si>
  <si>
    <t>Estimated Dwelling Yield</t>
  </si>
  <si>
    <t>Cost per Dwelling</t>
  </si>
  <si>
    <t>YANCHEP TWO ROCKS DCP</t>
  </si>
  <si>
    <t>Facility Costs</t>
  </si>
  <si>
    <t>Surf Life Saving Club, 
Yanchep Lagoon</t>
  </si>
  <si>
    <t>Coastal Node Facilities, 
Capricorn Coastal Node</t>
  </si>
  <si>
    <t>Public Open Space (Active),
Yanchep Metropolitan Centre</t>
  </si>
  <si>
    <t>- Oval groundworks</t>
  </si>
  <si>
    <t>- Oval landscaping</t>
  </si>
  <si>
    <t>- Pavilion</t>
  </si>
  <si>
    <t>N/A</t>
  </si>
  <si>
    <t>Fixed</t>
  </si>
  <si>
    <t>- Land Costs</t>
  </si>
  <si>
    <t>Sub Total Facility Costs</t>
  </si>
  <si>
    <t>Administration Costs</t>
  </si>
  <si>
    <t>Confirmed Administration Costs
(Preparation of DCP, Cost estimates etc)</t>
  </si>
  <si>
    <t>Confirmed Administration Costs 
(DCP Cost Finalisation)</t>
  </si>
  <si>
    <t>Estimated Loan Servicing Costs (to fund early provision of facilities)</t>
  </si>
  <si>
    <t>Estimated Administration Costs
(Administer the DCP)
($70,500 p.a. x 10 years)</t>
  </si>
  <si>
    <t>Sub Total Administrative Costs</t>
  </si>
  <si>
    <t>Deductions</t>
  </si>
  <si>
    <t>Collected contributions</t>
  </si>
  <si>
    <t>Interest</t>
  </si>
  <si>
    <t>Sub Total Deductions</t>
  </si>
  <si>
    <t>TOTAL</t>
  </si>
  <si>
    <t>Review 18/5/17 - ID Forecast - remaining DCP timeframe</t>
  </si>
  <si>
    <t>Review 18/5/17 - Current trend</t>
  </si>
  <si>
    <t>Estimated Administration Costs
(Administer the DCP)
($70,500 p.a.)</t>
  </si>
  <si>
    <t>Income/Expenses up to 30 June 2017</t>
  </si>
  <si>
    <t>Existing loan costs</t>
  </si>
  <si>
    <t>Existing admin costs</t>
  </si>
  <si>
    <t>Rate increases however loan is only $6.8 mil - savings in interest</t>
  </si>
  <si>
    <t>SUMMARY</t>
  </si>
  <si>
    <t>Updated figures from PMO reports - October 2017</t>
  </si>
  <si>
    <t>Adopted rate Nov 2016</t>
  </si>
  <si>
    <t>Landowners Projections</t>
  </si>
  <si>
    <t>ID Forecast</t>
  </si>
  <si>
    <t xml:space="preserve">CITY </t>
  </si>
  <si>
    <t>Percentage</t>
  </si>
  <si>
    <t>Total Costs</t>
  </si>
  <si>
    <t>Updated Costs</t>
  </si>
  <si>
    <t>Projected Dwellings/ID Forecast</t>
  </si>
  <si>
    <t xml:space="preserve"> </t>
  </si>
  <si>
    <t>Total loan $9.3mil</t>
  </si>
  <si>
    <t>Total loan $6.8mil</t>
  </si>
  <si>
    <t>Total loan $8.3mil - may have to do additional $500k borrowing if no lots created Jan/Feb</t>
  </si>
  <si>
    <t>Total loan $6.3mil</t>
  </si>
  <si>
    <t>Income/Expenses up to June 2017</t>
  </si>
  <si>
    <t>Notes:</t>
  </si>
  <si>
    <t>Interest income not included in scenarios</t>
  </si>
  <si>
    <t>Loan taken in installments, Rate lower</t>
  </si>
  <si>
    <t>Partial repayment of original loan (1.5mil)</t>
  </si>
  <si>
    <t>Partial repayment of original loan (2mil)</t>
  </si>
  <si>
    <t>Figures are up to date to last PMO</t>
  </si>
  <si>
    <t>SLSC increased exp however DOS and</t>
  </si>
  <si>
    <t>Loan borrowing reduced from $8.3 to $6.8mil</t>
  </si>
  <si>
    <t>Loan borrowing reduced from $8.3 to $6.3mil</t>
  </si>
  <si>
    <t>Variations are not included in these figures</t>
  </si>
  <si>
    <t>land purchase reduced</t>
  </si>
  <si>
    <t>Saving in loan interest</t>
  </si>
  <si>
    <t>Additional funds to the City</t>
  </si>
  <si>
    <t>2017/2018</t>
  </si>
  <si>
    <t>2019/2020</t>
  </si>
  <si>
    <t>2020/21 &amp; 2021/22</t>
  </si>
  <si>
    <t>Additional funding - ID Forecast</t>
  </si>
  <si>
    <t>Current Funding</t>
  </si>
  <si>
    <t>New Total (City Proportion)</t>
  </si>
  <si>
    <t>Landowner Projections</t>
  </si>
  <si>
    <t>ID Forecast - 10 Years</t>
  </si>
  <si>
    <t>ID Forecast - 16 Years</t>
  </si>
  <si>
    <t xml:space="preserve">City </t>
  </si>
  <si>
    <t>Total cost of facilities</t>
  </si>
  <si>
    <t>No of lots</t>
  </si>
  <si>
    <t>DCP</t>
  </si>
  <si>
    <t>Total admin and interest expenses</t>
  </si>
  <si>
    <t>Cost per lot</t>
  </si>
  <si>
    <t>Total lots created</t>
  </si>
  <si>
    <t>City's current funding of Yanchep-Two Rocks CWP</t>
  </si>
  <si>
    <t>LTD Exp</t>
  </si>
  <si>
    <t>Future CWP</t>
  </si>
  <si>
    <t>Muni</t>
  </si>
  <si>
    <t>Loan</t>
  </si>
  <si>
    <t>Reserves</t>
  </si>
  <si>
    <t>YANCHEP - TWO ROCKS DEVELOPER LOT PRODUCTION</t>
  </si>
  <si>
    <t>LPP3.3</t>
  </si>
  <si>
    <t>2012/2013</t>
  </si>
  <si>
    <t>2013/2014</t>
  </si>
  <si>
    <t>2014/2015</t>
  </si>
  <si>
    <t>2015/2016</t>
  </si>
  <si>
    <t>2016/2017</t>
  </si>
  <si>
    <t>2018/2019</t>
  </si>
  <si>
    <t>2020/2021</t>
  </si>
  <si>
    <t>2021/2022</t>
  </si>
  <si>
    <t>2022/2023</t>
  </si>
  <si>
    <t>2023/2024</t>
  </si>
  <si>
    <t>Project</t>
  </si>
  <si>
    <t>Developer</t>
  </si>
  <si>
    <t>Actual</t>
  </si>
  <si>
    <t>Estimate</t>
  </si>
  <si>
    <t>Jindowie</t>
  </si>
  <si>
    <t>Frasers Property / DoH</t>
  </si>
  <si>
    <t>Yanchep South</t>
  </si>
  <si>
    <t>LandCorp</t>
  </si>
  <si>
    <t>Yanchep Golf</t>
  </si>
  <si>
    <t>Peet</t>
  </si>
  <si>
    <t>Yanchep B Rd</t>
  </si>
  <si>
    <t>Primewest</t>
  </si>
  <si>
    <t xml:space="preserve">Lot 2 </t>
  </si>
  <si>
    <t>DoH / Peet</t>
  </si>
  <si>
    <t>Capricorn</t>
  </si>
  <si>
    <t>CVJV / Acumen</t>
  </si>
  <si>
    <t>Yanchep City Centre</t>
  </si>
  <si>
    <t>YBJV</t>
  </si>
  <si>
    <t>The Reef</t>
  </si>
  <si>
    <t>Pindan</t>
  </si>
  <si>
    <t>The Spot</t>
  </si>
  <si>
    <t>McDermott</t>
  </si>
  <si>
    <t>Atlantis Beach</t>
  </si>
  <si>
    <t>Lot 204</t>
  </si>
  <si>
    <t>Ang / New Orion</t>
  </si>
  <si>
    <t>Two Rocks Town Centre</t>
  </si>
  <si>
    <t>Fini</t>
  </si>
  <si>
    <t>Other</t>
  </si>
  <si>
    <t>YANCHEP - TWO ROCKS DEVELOPER LOT PRODUCTION - ID FORECAST</t>
  </si>
  <si>
    <t>ACTUALS</t>
  </si>
  <si>
    <t>ID FORECAST - 10 years</t>
  </si>
  <si>
    <t>ID FORECAST - 16 years</t>
  </si>
  <si>
    <t>Total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</si>
  <si>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</si>
  <si>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</si>
  <si>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</si>
  <si>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</si>
  <si>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</si>
  <si>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</si>
  <si>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</si>
  <si>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</si>
  <si>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</si>
  <si>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</si>
  <si>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</si>
  <si>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</si>
  <si>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Existing Dewllings Pre-LPP3.3</t>
  </si>
  <si>
    <t>Updated March 2018</t>
  </si>
  <si>
    <t>Estimate/Bal remaining</t>
  </si>
  <si>
    <t>Area</t>
  </si>
  <si>
    <t>Data type</t>
  </si>
  <si>
    <t>Year</t>
  </si>
  <si>
    <t>Number</t>
  </si>
  <si>
    <t>Two Rocks</t>
  </si>
  <si>
    <t>Dwellings</t>
  </si>
  <si>
    <t>Yanchep</t>
  </si>
  <si>
    <t>Diff</t>
  </si>
  <si>
    <t>No change to previous ID Forecast</t>
  </si>
  <si>
    <t xml:space="preserve">Revised Mar18 - ID Forecast </t>
  </si>
  <si>
    <t>2024/2025</t>
  </si>
  <si>
    <t>2025/2026</t>
  </si>
  <si>
    <t>2026/2027</t>
  </si>
  <si>
    <t>2027/2028</t>
  </si>
  <si>
    <t>2028/2029</t>
  </si>
  <si>
    <t>2029/2030</t>
  </si>
  <si>
    <t>Updated 29/3/18</t>
  </si>
  <si>
    <t>NO UPDATE RECEIVED</t>
  </si>
  <si>
    <t>Date</t>
  </si>
  <si>
    <t>2015 LO Estimate</t>
  </si>
  <si>
    <t>2016 LO Estimate</t>
  </si>
  <si>
    <t>2017 LO Estimate</t>
  </si>
  <si>
    <t>2018 LO Estimate</t>
  </si>
  <si>
    <t>I.D. Forecast (2013)</t>
  </si>
  <si>
    <t>Actual Trend</t>
  </si>
  <si>
    <t>Actuals</t>
  </si>
  <si>
    <t>Use current percemtage and updated project costs</t>
  </si>
  <si>
    <t>Increase loan by $800k</t>
  </si>
  <si>
    <t>Rate increases $265</t>
  </si>
  <si>
    <t>YANCHEP - TWO ROCKS DCP - COST SUMMARY 2016</t>
  </si>
  <si>
    <t>YANCHEP - TWO ROCKS DCP - COST SUMMARY 2018</t>
  </si>
  <si>
    <t>YANCHEP - TWO ROCKS DCP - COST SUMMARY 2018 (16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</si>
</sst>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456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justify" vertical="top" wrapText="1"/>
    </xf>
    <xf numFmtId="0" fontId="3" fillId="4" borderId="0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14" xfId="0" applyFont="1" applyFill="1" applyBorder="1" applyAlignment="1">
      <alignment horizontal="right" vertical="top" wrapText="1"/>
    </xf>
    <xf numFmtId="0" fontId="0" fillId="2" borderId="7" xfId="0" applyFill="1" applyBorder="1"/>
    <xf numFmtId="0" fontId="0" fillId="2" borderId="14" xfId="0" applyFill="1" applyBorder="1"/>
    <xf numFmtId="0" fontId="4" fillId="5" borderId="15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16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horizontal="right" vertical="top" wrapText="1"/>
    </xf>
    <xf numFmtId="0" fontId="0" fillId="0" borderId="7" xfId="0" applyFill="1" applyBorder="1"/>
    <xf numFmtId="0" fontId="0" fillId="0" borderId="14" xfId="0" applyFill="1" applyBorder="1"/>
    <xf numFmtId="0" fontId="5" fillId="0" borderId="15" xfId="0" applyFont="1" applyBorder="1" applyAlignment="1">
      <alignment horizontal="justify" vertical="top" wrapText="1"/>
    </xf>
    <xf numFmtId="42" fontId="0" fillId="0" borderId="6" xfId="0" applyNumberFormat="1" applyBorder="1" applyAlignment="1">
      <alignment horizontal="right" vertical="center" wrapText="1"/>
    </xf>
    <xf numFmtId="42" fontId="0" fillId="0" borderId="16" xfId="0" applyNumberFormat="1" applyBorder="1" applyAlignment="1">
      <alignment horizontal="right" vertical="center" wrapText="1"/>
    </xf>
    <xf numFmtId="1" fontId="0" fillId="0" borderId="19" xfId="0" applyNumberFormat="1" applyBorder="1" applyAlignment="1">
      <alignment horizontal="right" vertical="center" wrapText="1"/>
    </xf>
    <xf numFmtId="1" fontId="0" fillId="0" borderId="20" xfId="0" applyNumberFormat="1" applyBorder="1" applyAlignment="1">
      <alignment horizontal="right" vertical="center" wrapText="1"/>
    </xf>
    <xf numFmtId="1" fontId="0" fillId="0" borderId="21" xfId="0" applyNumberFormat="1" applyBorder="1" applyAlignment="1">
      <alignment horizontal="right" vertical="center" wrapText="1"/>
    </xf>
    <xf numFmtId="10" fontId="0" fillId="0" borderId="22" xfId="0" applyNumberFormat="1" applyBorder="1" applyAlignment="1">
      <alignment vertical="center"/>
    </xf>
    <xf numFmtId="44" fontId="0" fillId="0" borderId="20" xfId="0" applyNumberFormat="1" applyBorder="1" applyAlignment="1">
      <alignment horizontal="right" vertical="center" wrapText="1"/>
    </xf>
    <xf numFmtId="10" fontId="0" fillId="0" borderId="20" xfId="0" applyNumberFormat="1" applyBorder="1" applyAlignment="1">
      <alignment horizontal="right" vertical="center" wrapText="1"/>
    </xf>
    <xf numFmtId="42" fontId="0" fillId="0" borderId="20" xfId="0" applyNumberFormat="1" applyBorder="1" applyAlignment="1">
      <alignment horizontal="right" vertical="center" wrapText="1"/>
    </xf>
    <xf numFmtId="3" fontId="0" fillId="0" borderId="6" xfId="0" applyNumberFormat="1" applyBorder="1" applyAlignment="1">
      <alignment vertical="center"/>
    </xf>
    <xf numFmtId="44" fontId="0" fillId="0" borderId="23" xfId="0" applyNumberFormat="1" applyBorder="1" applyAlignment="1">
      <alignment vertical="center"/>
    </xf>
    <xf numFmtId="0" fontId="5" fillId="0" borderId="1" xfId="0" applyFont="1" applyBorder="1" applyAlignment="1">
      <alignment horizontal="justify" vertical="top" wrapText="1"/>
    </xf>
    <xf numFmtId="42" fontId="0" fillId="0" borderId="7" xfId="0" applyNumberFormat="1" applyBorder="1" applyAlignment="1">
      <alignment horizontal="right" vertical="center" wrapText="1"/>
    </xf>
    <xf numFmtId="1" fontId="0" fillId="0" borderId="22" xfId="0" applyNumberFormat="1" applyBorder="1" applyAlignment="1">
      <alignment horizontal="right" vertical="center" wrapText="1"/>
    </xf>
    <xf numFmtId="1" fontId="0" fillId="0" borderId="6" xfId="0" applyNumberFormat="1" applyBorder="1" applyAlignment="1">
      <alignment horizontal="right" vertical="center" wrapText="1"/>
    </xf>
    <xf numFmtId="42" fontId="0" fillId="6" borderId="6" xfId="0" applyNumberFormat="1" applyFill="1" applyBorder="1" applyAlignment="1">
      <alignment horizontal="right" vertical="center" wrapText="1"/>
    </xf>
    <xf numFmtId="42" fontId="0" fillId="6" borderId="7" xfId="0" applyNumberFormat="1" applyFill="1" applyBorder="1" applyAlignment="1">
      <alignment horizontal="right" vertical="center" wrapText="1"/>
    </xf>
    <xf numFmtId="1" fontId="0" fillId="6" borderId="22" xfId="0" applyNumberFormat="1" applyFill="1" applyBorder="1" applyAlignment="1">
      <alignment horizontal="right" vertical="center" wrapText="1"/>
    </xf>
    <xf numFmtId="1" fontId="0" fillId="6" borderId="6" xfId="0" applyNumberFormat="1" applyFill="1" applyBorder="1" applyAlignment="1">
      <alignment horizontal="right" vertical="center" wrapText="1"/>
    </xf>
    <xf numFmtId="1" fontId="0" fillId="6" borderId="21" xfId="0" applyNumberFormat="1" applyFill="1" applyBorder="1" applyAlignment="1">
      <alignment horizontal="right" vertical="center" wrapText="1"/>
    </xf>
    <xf numFmtId="10" fontId="0" fillId="6" borderId="22" xfId="0" applyNumberFormat="1" applyFill="1" applyBorder="1" applyAlignment="1">
      <alignment vertical="center"/>
    </xf>
    <xf numFmtId="44" fontId="0" fillId="6" borderId="20" xfId="0" applyNumberFormat="1" applyFill="1" applyBorder="1" applyAlignment="1">
      <alignment horizontal="right" vertical="center" wrapText="1"/>
    </xf>
    <xf numFmtId="10" fontId="0" fillId="6" borderId="20" xfId="0" applyNumberFormat="1" applyFill="1" applyBorder="1" applyAlignment="1">
      <alignment horizontal="right" vertical="center" wrapText="1"/>
    </xf>
    <xf numFmtId="42" fontId="0" fillId="6" borderId="20" xfId="0" applyNumberFormat="1" applyFill="1" applyBorder="1" applyAlignment="1">
      <alignment horizontal="right" vertical="center" wrapText="1"/>
    </xf>
    <xf numFmtId="3" fontId="0" fillId="6" borderId="6" xfId="0" applyNumberFormat="1" applyFill="1" applyBorder="1" applyAlignment="1">
      <alignment vertical="center"/>
    </xf>
    <xf numFmtId="44" fontId="0" fillId="6" borderId="2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justify" vertical="top" wrapText="1"/>
    </xf>
    <xf numFmtId="10" fontId="0" fillId="0" borderId="22" xfId="0" applyNumberFormat="1" applyBorder="1" applyAlignment="1">
      <alignment horizontal="right" vertical="center"/>
    </xf>
    <xf numFmtId="0" fontId="4" fillId="7" borderId="1" xfId="0" applyFont="1" applyFill="1" applyBorder="1" applyAlignment="1">
      <alignment horizontal="justify" vertical="top" wrapText="1"/>
    </xf>
    <xf numFmtId="42" fontId="3" fillId="7" borderId="6" xfId="0" applyNumberFormat="1" applyFont="1" applyFill="1" applyBorder="1" applyAlignment="1">
      <alignment horizontal="right" vertical="center" wrapText="1"/>
    </xf>
    <xf numFmtId="42" fontId="3" fillId="7" borderId="7" xfId="0" applyNumberFormat="1" applyFont="1" applyFill="1" applyBorder="1" applyAlignment="1">
      <alignment horizontal="right" vertical="center" wrapText="1"/>
    </xf>
    <xf numFmtId="1" fontId="3" fillId="7" borderId="22" xfId="0" applyNumberFormat="1" applyFont="1" applyFill="1" applyBorder="1" applyAlignment="1">
      <alignment horizontal="right" vertical="center" wrapText="1"/>
    </xf>
    <xf numFmtId="1" fontId="3" fillId="7" borderId="6" xfId="0" applyNumberFormat="1" applyFont="1" applyFill="1" applyBorder="1" applyAlignment="1">
      <alignment horizontal="right" vertical="center" wrapText="1"/>
    </xf>
    <xf numFmtId="1" fontId="3" fillId="7" borderId="23" xfId="0" applyNumberFormat="1" applyFont="1" applyFill="1" applyBorder="1" applyAlignment="1">
      <alignment horizontal="right" vertical="center" wrapText="1"/>
    </xf>
    <xf numFmtId="0" fontId="3" fillId="7" borderId="22" xfId="0" applyFont="1" applyFill="1" applyBorder="1" applyAlignment="1">
      <alignment horizontal="right" vertical="center" wrapText="1"/>
    </xf>
    <xf numFmtId="0" fontId="3" fillId="7" borderId="6" xfId="0" applyFont="1" applyFill="1" applyBorder="1" applyAlignment="1">
      <alignment horizontal="right" vertical="center" wrapText="1"/>
    </xf>
    <xf numFmtId="3" fontId="3" fillId="7" borderId="6" xfId="0" applyNumberFormat="1" applyFont="1" applyFill="1" applyBorder="1" applyAlignment="1">
      <alignment vertical="center"/>
    </xf>
    <xf numFmtId="44" fontId="3" fillId="7" borderId="2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Border="1"/>
    <xf numFmtId="0" fontId="0" fillId="0" borderId="24" xfId="0" applyBorder="1"/>
    <xf numFmtId="0" fontId="0" fillId="0" borderId="8" xfId="0" applyBorder="1"/>
    <xf numFmtId="0" fontId="4" fillId="5" borderId="6" xfId="0" applyFont="1" applyFill="1" applyBorder="1" applyAlignment="1">
      <alignment horizontal="justify" vertical="top" wrapText="1"/>
    </xf>
    <xf numFmtId="42" fontId="0" fillId="0" borderId="0" xfId="0" applyNumberFormat="1" applyBorder="1" applyAlignment="1">
      <alignment horizontal="right" vertical="center" wrapText="1"/>
    </xf>
    <xf numFmtId="1" fontId="0" fillId="0" borderId="24" xfId="0" applyNumberFormat="1" applyBorder="1" applyAlignment="1">
      <alignment horizontal="right" vertical="center" wrapText="1"/>
    </xf>
    <xf numFmtId="1" fontId="0" fillId="0" borderId="0" xfId="0" applyNumberFormat="1" applyBorder="1" applyAlignment="1">
      <alignment horizontal="right" vertical="center" wrapText="1"/>
    </xf>
    <xf numFmtId="1" fontId="0" fillId="0" borderId="8" xfId="0" applyNumberFormat="1" applyBorder="1" applyAlignment="1">
      <alignment horizontal="right" vertical="center" wrapText="1"/>
    </xf>
    <xf numFmtId="10" fontId="0" fillId="0" borderId="24" xfId="0" applyNumberFormat="1" applyBorder="1" applyAlignment="1">
      <alignment horizontal="right" vertical="center" wrapText="1"/>
    </xf>
    <xf numFmtId="44" fontId="0" fillId="0" borderId="0" xfId="0" applyNumberFormat="1" applyBorder="1" applyAlignment="1">
      <alignment horizontal="right" vertical="center" wrapText="1"/>
    </xf>
    <xf numFmtId="10" fontId="0" fillId="0" borderId="0" xfId="0" applyNumberFormat="1" applyBorder="1" applyAlignment="1">
      <alignment horizontal="right" vertical="center" wrapText="1"/>
    </xf>
    <xf numFmtId="3" fontId="0" fillId="0" borderId="0" xfId="0" applyNumberFormat="1" applyBorder="1" applyAlignment="1">
      <alignment vertical="center"/>
    </xf>
    <xf numFmtId="44" fontId="0" fillId="0" borderId="8" xfId="0" applyNumberFormat="1" applyBorder="1" applyAlignment="1">
      <alignment vertical="center"/>
    </xf>
    <xf numFmtId="1" fontId="0" fillId="0" borderId="23" xfId="0" applyNumberFormat="1" applyBorder="1" applyAlignment="1">
      <alignment horizontal="right" vertical="center" wrapText="1"/>
    </xf>
    <xf numFmtId="10" fontId="0" fillId="0" borderId="22" xfId="0" applyNumberFormat="1" applyBorder="1" applyAlignment="1">
      <alignment horizontal="right" vertical="center" wrapText="1"/>
    </xf>
    <xf numFmtId="44" fontId="0" fillId="0" borderId="6" xfId="0" applyNumberFormat="1" applyBorder="1" applyAlignment="1">
      <alignment horizontal="right" vertical="center" wrapText="1"/>
    </xf>
    <xf numFmtId="10" fontId="0" fillId="0" borderId="6" xfId="0" applyNumberFormat="1" applyBorder="1" applyAlignment="1">
      <alignment horizontal="right" vertical="center" wrapText="1"/>
    </xf>
    <xf numFmtId="10" fontId="0" fillId="0" borderId="19" xfId="0" applyNumberFormat="1" applyBorder="1" applyAlignment="1">
      <alignment horizontal="right" vertical="center" wrapText="1"/>
    </xf>
    <xf numFmtId="44" fontId="3" fillId="7" borderId="6" xfId="0" applyNumberFormat="1" applyFont="1" applyFill="1" applyBorder="1" applyAlignment="1">
      <alignment horizontal="right" vertical="center" wrapText="1"/>
    </xf>
    <xf numFmtId="44" fontId="3" fillId="7" borderId="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justify" vertical="top" wrapText="1"/>
    </xf>
    <xf numFmtId="44" fontId="3" fillId="0" borderId="0" xfId="0" applyNumberFormat="1" applyFont="1" applyFill="1" applyBorder="1" applyAlignment="1">
      <alignment horizontal="right" vertical="center" wrapText="1"/>
    </xf>
    <xf numFmtId="1" fontId="3" fillId="0" borderId="24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 vertical="center" wrapText="1"/>
    </xf>
    <xf numFmtId="1" fontId="3" fillId="0" borderId="8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42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vertical="center"/>
    </xf>
    <xf numFmtId="44" fontId="3" fillId="0" borderId="8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top" wrapText="1"/>
    </xf>
    <xf numFmtId="0" fontId="0" fillId="0" borderId="6" xfId="0" applyBorder="1"/>
    <xf numFmtId="42" fontId="6" fillId="0" borderId="6" xfId="0" applyNumberFormat="1" applyFont="1" applyFill="1" applyBorder="1" applyAlignment="1">
      <alignment horizontal="right" vertical="center" wrapText="1"/>
    </xf>
    <xf numFmtId="42" fontId="6" fillId="0" borderId="7" xfId="0" applyNumberFormat="1" applyFont="1" applyFill="1" applyBorder="1" applyAlignment="1">
      <alignment horizontal="right" vertical="center" wrapText="1"/>
    </xf>
    <xf numFmtId="1" fontId="0" fillId="0" borderId="22" xfId="0" applyNumberFormat="1" applyFont="1" applyFill="1" applyBorder="1" applyAlignment="1">
      <alignment horizontal="right" vertical="center" wrapText="1"/>
    </xf>
    <xf numFmtId="1" fontId="0" fillId="0" borderId="6" xfId="0" applyNumberFormat="1" applyFont="1" applyFill="1" applyBorder="1" applyAlignment="1">
      <alignment horizontal="right" vertical="center" wrapText="1"/>
    </xf>
    <xf numFmtId="1" fontId="0" fillId="0" borderId="23" xfId="0" applyNumberFormat="1" applyFont="1" applyFill="1" applyBorder="1" applyAlignment="1">
      <alignment horizontal="right" vertical="center" wrapText="1"/>
    </xf>
    <xf numFmtId="0" fontId="6" fillId="0" borderId="22" xfId="0" applyFont="1" applyFill="1" applyBorder="1" applyAlignment="1">
      <alignment horizontal="right" vertical="center" wrapText="1"/>
    </xf>
    <xf numFmtId="42" fontId="0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42" fontId="0" fillId="0" borderId="6" xfId="0" applyNumberFormat="1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horizontal="justify" vertical="top" wrapText="1"/>
    </xf>
    <xf numFmtId="44" fontId="0" fillId="8" borderId="6" xfId="0" applyNumberFormat="1" applyFill="1" applyBorder="1" applyAlignment="1">
      <alignment horizontal="right" vertical="top" wrapText="1"/>
    </xf>
    <xf numFmtId="44" fontId="0" fillId="8" borderId="25" xfId="0" applyNumberFormat="1" applyFill="1" applyBorder="1" applyAlignment="1">
      <alignment horizontal="right" vertical="top" wrapText="1"/>
    </xf>
    <xf numFmtId="1" fontId="0" fillId="8" borderId="26" xfId="0" applyNumberFormat="1" applyFill="1" applyBorder="1" applyAlignment="1">
      <alignment horizontal="right" vertical="top" wrapText="1"/>
    </xf>
    <xf numFmtId="1" fontId="0" fillId="8" borderId="27" xfId="0" applyNumberFormat="1" applyFill="1" applyBorder="1" applyAlignment="1">
      <alignment horizontal="right" vertical="top" wrapText="1"/>
    </xf>
    <xf numFmtId="1" fontId="0" fillId="8" borderId="28" xfId="0" applyNumberFormat="1" applyFill="1" applyBorder="1" applyAlignment="1">
      <alignment horizontal="right" vertical="top" wrapText="1"/>
    </xf>
    <xf numFmtId="0" fontId="0" fillId="8" borderId="26" xfId="0" applyFill="1" applyBorder="1" applyAlignment="1">
      <alignment horizontal="right" vertical="top" wrapText="1"/>
    </xf>
    <xf numFmtId="42" fontId="3" fillId="8" borderId="27" xfId="0" applyNumberFormat="1" applyFont="1" applyFill="1" applyBorder="1" applyAlignment="1">
      <alignment horizontal="right" vertical="top" wrapText="1"/>
    </xf>
    <xf numFmtId="0" fontId="0" fillId="8" borderId="27" xfId="0" applyFill="1" applyBorder="1" applyAlignment="1">
      <alignment horizontal="right" vertical="top" wrapText="1"/>
    </xf>
    <xf numFmtId="3" fontId="3" fillId="8" borderId="27" xfId="0" applyNumberFormat="1" applyFont="1" applyFill="1" applyBorder="1"/>
    <xf numFmtId="44" fontId="3" fillId="8" borderId="28" xfId="0" applyNumberFormat="1" applyFont="1" applyFill="1" applyBorder="1"/>
    <xf numFmtId="10" fontId="0" fillId="0" borderId="0" xfId="0" applyNumberFormat="1"/>
    <xf numFmtId="0" fontId="3" fillId="2" borderId="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justify" vertical="top" wrapText="1"/>
    </xf>
    <xf numFmtId="0" fontId="4" fillId="5" borderId="17" xfId="0" applyFont="1" applyFill="1" applyBorder="1" applyAlignment="1">
      <alignment horizontal="justify" vertical="top" wrapText="1"/>
    </xf>
    <xf numFmtId="42" fontId="0" fillId="0" borderId="6" xfId="0" applyNumberFormat="1" applyFill="1" applyBorder="1" applyAlignment="1">
      <alignment horizontal="right" vertical="center" wrapText="1"/>
    </xf>
    <xf numFmtId="1" fontId="0" fillId="0" borderId="15" xfId="0" applyNumberFormat="1" applyBorder="1" applyAlignment="1">
      <alignment horizontal="right" vertical="center" wrapText="1"/>
    </xf>
    <xf numFmtId="0" fontId="5" fillId="0" borderId="17" xfId="0" applyFont="1" applyBorder="1" applyAlignment="1">
      <alignment horizontal="justify" vertical="top" wrapText="1"/>
    </xf>
    <xf numFmtId="42" fontId="0" fillId="0" borderId="18" xfId="0" applyNumberFormat="1" applyBorder="1" applyAlignment="1">
      <alignment horizontal="right" vertical="center" wrapText="1"/>
    </xf>
    <xf numFmtId="0" fontId="5" fillId="0" borderId="13" xfId="0" applyFont="1" applyBorder="1" applyAlignment="1">
      <alignment horizontal="justify" vertical="top" wrapText="1"/>
    </xf>
    <xf numFmtId="42" fontId="0" fillId="0" borderId="14" xfId="0" applyNumberFormat="1" applyBorder="1" applyAlignment="1">
      <alignment horizontal="right" vertical="center" wrapText="1"/>
    </xf>
    <xf numFmtId="1" fontId="0" fillId="6" borderId="15" xfId="0" applyNumberFormat="1" applyFill="1" applyBorder="1" applyAlignment="1">
      <alignment horizontal="right" vertical="center" wrapText="1"/>
    </xf>
    <xf numFmtId="42" fontId="0" fillId="6" borderId="14" xfId="0" applyNumberFormat="1" applyFill="1" applyBorder="1" applyAlignment="1">
      <alignment horizontal="right" vertical="center" wrapText="1"/>
    </xf>
    <xf numFmtId="49" fontId="5" fillId="0" borderId="13" xfId="0" applyNumberFormat="1" applyFont="1" applyBorder="1" applyAlignment="1">
      <alignment horizontal="justify" vertical="top" wrapText="1"/>
    </xf>
    <xf numFmtId="1" fontId="3" fillId="7" borderId="1" xfId="0" applyNumberFormat="1" applyFont="1" applyFill="1" applyBorder="1" applyAlignment="1">
      <alignment horizontal="right" vertical="center" wrapText="1"/>
    </xf>
    <xf numFmtId="0" fontId="4" fillId="7" borderId="13" xfId="0" applyFont="1" applyFill="1" applyBorder="1" applyAlignment="1">
      <alignment horizontal="justify" vertical="top" wrapText="1"/>
    </xf>
    <xf numFmtId="42" fontId="3" fillId="7" borderId="14" xfId="0" applyNumberFormat="1" applyFont="1" applyFill="1" applyBorder="1" applyAlignment="1">
      <alignment horizontal="right" vertical="center" wrapText="1"/>
    </xf>
    <xf numFmtId="0" fontId="4" fillId="5" borderId="22" xfId="0" applyFont="1" applyFill="1" applyBorder="1" applyAlignment="1">
      <alignment horizontal="justify" vertical="top" wrapText="1"/>
    </xf>
    <xf numFmtId="42" fontId="0" fillId="0" borderId="8" xfId="0" applyNumberForma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44" fontId="3" fillId="7" borderId="14" xfId="0" applyNumberFormat="1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justify" vertical="top" wrapText="1"/>
    </xf>
    <xf numFmtId="44" fontId="3" fillId="0" borderId="8" xfId="0" applyNumberFormat="1" applyFont="1" applyFill="1" applyBorder="1" applyAlignment="1">
      <alignment horizontal="right" vertical="center" wrapText="1"/>
    </xf>
    <xf numFmtId="1" fontId="0" fillId="0" borderId="1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justify" vertical="top" wrapText="1"/>
    </xf>
    <xf numFmtId="42" fontId="6" fillId="0" borderId="14" xfId="0" applyNumberFormat="1" applyFont="1" applyFill="1" applyBorder="1" applyAlignment="1">
      <alignment horizontal="right" vertical="center" wrapText="1"/>
    </xf>
    <xf numFmtId="1" fontId="0" fillId="8" borderId="37" xfId="0" applyNumberFormat="1" applyFill="1" applyBorder="1" applyAlignment="1">
      <alignment horizontal="right" vertical="top" wrapText="1"/>
    </xf>
    <xf numFmtId="0" fontId="4" fillId="8" borderId="38" xfId="0" applyFont="1" applyFill="1" applyBorder="1" applyAlignment="1">
      <alignment horizontal="justify" vertical="top" wrapText="1"/>
    </xf>
    <xf numFmtId="44" fontId="0" fillId="8" borderId="27" xfId="0" applyNumberFormat="1" applyFill="1" applyBorder="1" applyAlignment="1">
      <alignment horizontal="right" vertical="top" wrapText="1"/>
    </xf>
    <xf numFmtId="44" fontId="0" fillId="8" borderId="39" xfId="0" applyNumberForma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0" borderId="24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4" borderId="17" xfId="0" applyFont="1" applyFill="1" applyBorder="1" applyAlignment="1">
      <alignment horizontal="justify" vertical="top" wrapText="1"/>
    </xf>
    <xf numFmtId="0" fontId="4" fillId="4" borderId="20" xfId="0" applyFont="1" applyFill="1" applyBorder="1" applyAlignment="1">
      <alignment horizontal="center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10" fontId="4" fillId="4" borderId="6" xfId="0" applyNumberFormat="1" applyFont="1" applyFill="1" applyBorder="1" applyAlignment="1">
      <alignment horizontal="center" vertical="top" wrapText="1"/>
    </xf>
    <xf numFmtId="10" fontId="4" fillId="4" borderId="23" xfId="0" applyNumberFormat="1" applyFont="1" applyFill="1" applyBorder="1" applyAlignment="1">
      <alignment horizontal="center" vertical="top" wrapText="1"/>
    </xf>
    <xf numFmtId="10" fontId="4" fillId="0" borderId="24" xfId="0" applyNumberFormat="1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10" fontId="4" fillId="4" borderId="22" xfId="0" applyNumberFormat="1" applyFont="1" applyFill="1" applyBorder="1" applyAlignment="1">
      <alignment horizontal="center" vertical="top" wrapText="1"/>
    </xf>
    <xf numFmtId="10" fontId="4" fillId="4" borderId="8" xfId="0" applyNumberFormat="1" applyFont="1" applyFill="1" applyBorder="1" applyAlignment="1">
      <alignment horizontal="center" vertical="top" wrapText="1"/>
    </xf>
    <xf numFmtId="1" fontId="5" fillId="0" borderId="15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justify" vertical="top" wrapText="1"/>
    </xf>
    <xf numFmtId="0" fontId="5" fillId="0" borderId="24" xfId="0" applyFont="1" applyFill="1" applyBorder="1" applyAlignment="1">
      <alignment horizontal="justify" vertical="top" wrapText="1"/>
    </xf>
    <xf numFmtId="1" fontId="5" fillId="0" borderId="22" xfId="0" applyNumberFormat="1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1" fontId="5" fillId="0" borderId="21" xfId="0" applyNumberFormat="1" applyFont="1" applyBorder="1" applyAlignment="1">
      <alignment horizontal="center" vertical="top" wrapText="1"/>
    </xf>
    <xf numFmtId="1" fontId="5" fillId="0" borderId="24" xfId="0" applyNumberFormat="1" applyFont="1" applyFill="1" applyBorder="1" applyAlignment="1">
      <alignment horizontal="center" vertical="top" wrapText="1"/>
    </xf>
    <xf numFmtId="1" fontId="5" fillId="0" borderId="23" xfId="0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4" fillId="5" borderId="21" xfId="0" applyFont="1" applyFill="1" applyBorder="1" applyAlignment="1">
      <alignment horizontal="justify" vertical="top" wrapText="1"/>
    </xf>
    <xf numFmtId="42" fontId="5" fillId="0" borderId="17" xfId="0" applyNumberFormat="1" applyFont="1" applyBorder="1" applyAlignment="1">
      <alignment horizontal="justify" vertical="top" wrapText="1"/>
    </xf>
    <xf numFmtId="44" fontId="5" fillId="0" borderId="15" xfId="0" applyNumberFormat="1" applyFont="1" applyBorder="1" applyAlignment="1">
      <alignment horizontal="justify" vertical="top" wrapText="1"/>
    </xf>
    <xf numFmtId="42" fontId="5" fillId="0" borderId="21" xfId="0" applyNumberFormat="1" applyFont="1" applyBorder="1" applyAlignment="1">
      <alignment horizontal="justify" vertical="top" wrapText="1"/>
    </xf>
    <xf numFmtId="42" fontId="5" fillId="0" borderId="24" xfId="0" applyNumberFormat="1" applyFont="1" applyFill="1" applyBorder="1" applyAlignment="1">
      <alignment horizontal="justify" vertical="top" wrapText="1"/>
    </xf>
    <xf numFmtId="164" fontId="5" fillId="0" borderId="13" xfId="0" applyNumberFormat="1" applyFont="1" applyBorder="1" applyAlignment="1">
      <alignment horizontal="justify" vertical="top" wrapText="1"/>
    </xf>
    <xf numFmtId="164" fontId="5" fillId="0" borderId="23" xfId="0" applyNumberFormat="1" applyFont="1" applyBorder="1" applyAlignment="1">
      <alignment horizontal="justify" vertical="top" wrapText="1"/>
    </xf>
    <xf numFmtId="42" fontId="5" fillId="9" borderId="17" xfId="0" applyNumberFormat="1" applyFont="1" applyFill="1" applyBorder="1" applyAlignment="1">
      <alignment horizontal="justify" vertical="top" wrapText="1"/>
    </xf>
    <xf numFmtId="42" fontId="5" fillId="0" borderId="13" xfId="0" applyNumberFormat="1" applyFont="1" applyBorder="1" applyAlignment="1">
      <alignment horizontal="justify" vertical="top" wrapText="1"/>
    </xf>
    <xf numFmtId="44" fontId="5" fillId="0" borderId="1" xfId="0" applyNumberFormat="1" applyFont="1" applyBorder="1" applyAlignment="1">
      <alignment horizontal="justify" vertical="top" wrapText="1"/>
    </xf>
    <xf numFmtId="42" fontId="5" fillId="0" borderId="23" xfId="0" applyNumberFormat="1" applyFont="1" applyBorder="1" applyAlignment="1">
      <alignment horizontal="justify" vertical="top" wrapText="1"/>
    </xf>
    <xf numFmtId="0" fontId="5" fillId="0" borderId="23" xfId="0" applyFont="1" applyBorder="1" applyAlignment="1">
      <alignment horizontal="justify" vertical="top" wrapText="1"/>
    </xf>
    <xf numFmtId="44" fontId="5" fillId="0" borderId="13" xfId="0" applyNumberFormat="1" applyFont="1" applyBorder="1" applyAlignment="1">
      <alignment horizontal="justify" vertical="top" wrapText="1"/>
    </xf>
    <xf numFmtId="44" fontId="5" fillId="0" borderId="23" xfId="0" applyNumberFormat="1" applyFont="1" applyBorder="1" applyAlignment="1">
      <alignment horizontal="justify" vertical="top" wrapText="1"/>
    </xf>
    <xf numFmtId="44" fontId="5" fillId="0" borderId="24" xfId="0" applyNumberFormat="1" applyFont="1" applyFill="1" applyBorder="1" applyAlignment="1">
      <alignment horizontal="justify" vertical="top" wrapText="1"/>
    </xf>
    <xf numFmtId="44" fontId="4" fillId="7" borderId="13" xfId="0" applyNumberFormat="1" applyFont="1" applyFill="1" applyBorder="1" applyAlignment="1">
      <alignment horizontal="justify" vertical="top" wrapText="1"/>
    </xf>
    <xf numFmtId="44" fontId="4" fillId="7" borderId="1" xfId="0" applyNumberFormat="1" applyFont="1" applyFill="1" applyBorder="1" applyAlignment="1">
      <alignment horizontal="justify" vertical="top" wrapText="1"/>
    </xf>
    <xf numFmtId="44" fontId="4" fillId="7" borderId="23" xfId="0" applyNumberFormat="1" applyFont="1" applyFill="1" applyBorder="1" applyAlignment="1">
      <alignment horizontal="justify" vertical="top" wrapText="1"/>
    </xf>
    <xf numFmtId="44" fontId="4" fillId="0" borderId="24" xfId="0" applyNumberFormat="1" applyFont="1" applyFill="1" applyBorder="1" applyAlignment="1">
      <alignment horizontal="justify" vertical="top" wrapText="1"/>
    </xf>
    <xf numFmtId="164" fontId="4" fillId="7" borderId="13" xfId="0" applyNumberFormat="1" applyFont="1" applyFill="1" applyBorder="1" applyAlignment="1">
      <alignment horizontal="justify" vertical="top" wrapText="1"/>
    </xf>
    <xf numFmtId="164" fontId="4" fillId="7" borderId="23" xfId="0" applyNumberFormat="1" applyFont="1" applyFill="1" applyBorder="1" applyAlignment="1">
      <alignment horizontal="justify" vertical="top" wrapText="1"/>
    </xf>
    <xf numFmtId="42" fontId="4" fillId="7" borderId="23" xfId="0" applyNumberFormat="1" applyFont="1" applyFill="1" applyBorder="1" applyAlignment="1">
      <alignment horizontal="justify" vertical="top" wrapText="1"/>
    </xf>
    <xf numFmtId="0" fontId="0" fillId="0" borderId="33" xfId="0" applyBorder="1"/>
    <xf numFmtId="0" fontId="0" fillId="0" borderId="24" xfId="0" applyFill="1" applyBorder="1"/>
    <xf numFmtId="0" fontId="4" fillId="5" borderId="1" xfId="0" applyFont="1" applyFill="1" applyBorder="1" applyAlignment="1">
      <alignment horizontal="justify" vertical="top" wrapText="1"/>
    </xf>
    <xf numFmtId="0" fontId="4" fillId="5" borderId="24" xfId="0" applyFont="1" applyFill="1" applyBorder="1" applyAlignment="1">
      <alignment horizontal="justify" vertical="top" wrapText="1"/>
    </xf>
    <xf numFmtId="0" fontId="4" fillId="5" borderId="0" xfId="0" applyFont="1" applyFill="1" applyBorder="1" applyAlignment="1">
      <alignment horizontal="justify" vertical="top" wrapText="1"/>
    </xf>
    <xf numFmtId="0" fontId="4" fillId="5" borderId="8" xfId="0" applyFont="1" applyFill="1" applyBorder="1" applyAlignment="1">
      <alignment horizontal="justify" vertical="top" wrapText="1"/>
    </xf>
    <xf numFmtId="0" fontId="5" fillId="0" borderId="13" xfId="0" applyFont="1" applyBorder="1" applyAlignment="1">
      <alignment horizontal="right" vertical="top" wrapText="1"/>
    </xf>
    <xf numFmtId="42" fontId="4" fillId="0" borderId="24" xfId="0" applyNumberFormat="1" applyFont="1" applyFill="1" applyBorder="1" applyAlignment="1">
      <alignment horizontal="justify" vertical="top" wrapText="1"/>
    </xf>
    <xf numFmtId="0" fontId="4" fillId="0" borderId="33" xfId="0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justify" vertical="top" wrapText="1"/>
    </xf>
    <xf numFmtId="42" fontId="5" fillId="0" borderId="23" xfId="0" applyNumberFormat="1" applyFont="1" applyFill="1" applyBorder="1" applyAlignment="1">
      <alignment horizontal="justify" vertical="top" wrapText="1"/>
    </xf>
    <xf numFmtId="0" fontId="5" fillId="0" borderId="23" xfId="0" applyFont="1" applyFill="1" applyBorder="1" applyAlignment="1">
      <alignment horizontal="justify" vertical="top" wrapText="1"/>
    </xf>
    <xf numFmtId="0" fontId="4" fillId="8" borderId="26" xfId="0" applyFont="1" applyFill="1" applyBorder="1" applyAlignment="1">
      <alignment horizontal="justify" vertical="top" wrapText="1"/>
    </xf>
    <xf numFmtId="0" fontId="4" fillId="8" borderId="27" xfId="0" applyFont="1" applyFill="1" applyBorder="1" applyAlignment="1">
      <alignment horizontal="justify" vertical="top" wrapText="1"/>
    </xf>
    <xf numFmtId="44" fontId="4" fillId="8" borderId="28" xfId="0" applyNumberFormat="1" applyFont="1" applyFill="1" applyBorder="1" applyAlignment="1">
      <alignment horizontal="justify" vertical="top" wrapText="1"/>
    </xf>
    <xf numFmtId="0" fontId="4" fillId="8" borderId="22" xfId="0" applyFont="1" applyFill="1" applyBorder="1" applyAlignment="1">
      <alignment horizontal="justify" vertical="top" wrapText="1"/>
    </xf>
    <xf numFmtId="44" fontId="4" fillId="8" borderId="23" xfId="0" applyNumberFormat="1" applyFont="1" applyFill="1" applyBorder="1" applyAlignment="1">
      <alignment horizontal="justify" vertical="top" wrapText="1"/>
    </xf>
    <xf numFmtId="0" fontId="5" fillId="0" borderId="24" xfId="0" applyFont="1" applyBorder="1"/>
    <xf numFmtId="0" fontId="5" fillId="0" borderId="8" xfId="0" applyFont="1" applyBorder="1"/>
    <xf numFmtId="0" fontId="5" fillId="0" borderId="30" xfId="0" applyFont="1" applyBorder="1"/>
    <xf numFmtId="0" fontId="5" fillId="0" borderId="32" xfId="0" applyFont="1" applyBorder="1"/>
    <xf numFmtId="44" fontId="5" fillId="0" borderId="0" xfId="0" applyNumberFormat="1" applyFont="1"/>
    <xf numFmtId="44" fontId="4" fillId="0" borderId="0" xfId="0" applyNumberFormat="1" applyFont="1"/>
    <xf numFmtId="0" fontId="0" fillId="0" borderId="34" xfId="0" applyBorder="1"/>
    <xf numFmtId="0" fontId="0" fillId="0" borderId="41" xfId="0" applyBorder="1" applyAlignment="1"/>
    <xf numFmtId="0" fontId="0" fillId="0" borderId="36" xfId="0" applyBorder="1"/>
    <xf numFmtId="0" fontId="4" fillId="7" borderId="34" xfId="0" applyFont="1" applyFill="1" applyBorder="1" applyAlignment="1">
      <alignment horizontal="center" vertical="top" wrapText="1"/>
    </xf>
    <xf numFmtId="0" fontId="4" fillId="5" borderId="34" xfId="0" applyFont="1" applyFill="1" applyBorder="1" applyAlignment="1">
      <alignment horizontal="center" vertical="top" wrapText="1"/>
    </xf>
    <xf numFmtId="0" fontId="4" fillId="5" borderId="43" xfId="0" applyFont="1" applyFill="1" applyBorder="1" applyAlignment="1">
      <alignment horizontal="center" vertical="top" wrapText="1"/>
    </xf>
    <xf numFmtId="0" fontId="4" fillId="5" borderId="44" xfId="0" applyFont="1" applyFill="1" applyBorder="1" applyAlignment="1">
      <alignment horizontal="center" vertical="top" wrapText="1"/>
    </xf>
    <xf numFmtId="0" fontId="4" fillId="7" borderId="45" xfId="0" applyFont="1" applyFill="1" applyBorder="1" applyAlignment="1">
      <alignment wrapText="1"/>
    </xf>
    <xf numFmtId="0" fontId="4" fillId="5" borderId="4" xfId="0" applyFont="1" applyFill="1" applyBorder="1" applyAlignment="1">
      <alignment horizontal="justify" vertical="top" wrapText="1"/>
    </xf>
    <xf numFmtId="0" fontId="5" fillId="7" borderId="46" xfId="0" applyFont="1" applyFill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47" xfId="0" applyFont="1" applyBorder="1" applyAlignment="1">
      <alignment horizontal="justify" vertical="top" wrapText="1"/>
    </xf>
    <xf numFmtId="0" fontId="5" fillId="0" borderId="48" xfId="0" applyFont="1" applyBorder="1" applyAlignment="1">
      <alignment horizontal="justify" vertical="top" wrapText="1"/>
    </xf>
    <xf numFmtId="0" fontId="5" fillId="9" borderId="17" xfId="0" applyFont="1" applyFill="1" applyBorder="1" applyAlignment="1">
      <alignment horizontal="justify" vertical="top" wrapText="1"/>
    </xf>
    <xf numFmtId="42" fontId="5" fillId="7" borderId="49" xfId="0" applyNumberFormat="1" applyFont="1" applyFill="1" applyBorder="1" applyAlignment="1">
      <alignment horizontal="justify" vertical="top" wrapText="1"/>
    </xf>
    <xf numFmtId="42" fontId="5" fillId="0" borderId="14" xfId="0" applyNumberFormat="1" applyFont="1" applyBorder="1" applyAlignment="1">
      <alignment horizontal="justify" vertical="top" wrapText="1"/>
    </xf>
    <xf numFmtId="49" fontId="5" fillId="9" borderId="13" xfId="0" applyNumberFormat="1" applyFont="1" applyFill="1" applyBorder="1" applyAlignment="1">
      <alignment horizontal="justify" vertical="top" wrapText="1"/>
    </xf>
    <xf numFmtId="49" fontId="5" fillId="0" borderId="38" xfId="0" applyNumberFormat="1" applyFont="1" applyBorder="1" applyAlignment="1">
      <alignment horizontal="justify" vertical="top" wrapText="1"/>
    </xf>
    <xf numFmtId="42" fontId="5" fillId="7" borderId="50" xfId="0" applyNumberFormat="1" applyFont="1" applyFill="1" applyBorder="1" applyAlignment="1">
      <alignment horizontal="justify" vertical="top" wrapText="1"/>
    </xf>
    <xf numFmtId="42" fontId="5" fillId="0" borderId="39" xfId="0" applyNumberFormat="1" applyFont="1" applyBorder="1" applyAlignment="1">
      <alignment horizontal="justify" vertical="top" wrapText="1"/>
    </xf>
    <xf numFmtId="42" fontId="5" fillId="0" borderId="28" xfId="0" applyNumberFormat="1" applyFont="1" applyBorder="1" applyAlignment="1">
      <alignment horizontal="justify" vertical="top" wrapText="1"/>
    </xf>
    <xf numFmtId="0" fontId="0" fillId="0" borderId="30" xfId="0" applyBorder="1"/>
    <xf numFmtId="42" fontId="4" fillId="7" borderId="51" xfId="0" applyNumberFormat="1" applyFont="1" applyFill="1" applyBorder="1" applyAlignment="1">
      <alignment horizontal="justify" vertical="top" wrapText="1"/>
    </xf>
    <xf numFmtId="42" fontId="4" fillId="0" borderId="52" xfId="0" applyNumberFormat="1" applyFont="1" applyBorder="1" applyAlignment="1">
      <alignment horizontal="justify" vertical="top" wrapText="1"/>
    </xf>
    <xf numFmtId="0" fontId="4" fillId="10" borderId="53" xfId="0" applyFont="1" applyFill="1" applyBorder="1" applyAlignment="1">
      <alignment horizontal="left" vertical="top" wrapText="1"/>
    </xf>
    <xf numFmtId="0" fontId="0" fillId="10" borderId="54" xfId="0" applyFill="1" applyBorder="1" applyAlignment="1">
      <alignment wrapText="1"/>
    </xf>
    <xf numFmtId="164" fontId="0" fillId="10" borderId="54" xfId="0" applyNumberFormat="1" applyFill="1" applyBorder="1"/>
    <xf numFmtId="164" fontId="0" fillId="10" borderId="48" xfId="0" applyNumberFormat="1" applyFill="1" applyBorder="1"/>
    <xf numFmtId="0" fontId="0" fillId="10" borderId="22" xfId="0" applyFill="1" applyBorder="1"/>
    <xf numFmtId="0" fontId="0" fillId="10" borderId="6" xfId="0" applyFill="1" applyBorder="1" applyAlignment="1">
      <alignment wrapText="1"/>
    </xf>
    <xf numFmtId="0" fontId="0" fillId="10" borderId="23" xfId="0" applyFill="1" applyBorder="1" applyAlignment="1">
      <alignment wrapText="1"/>
    </xf>
    <xf numFmtId="0" fontId="5" fillId="10" borderId="6" xfId="0" applyFont="1" applyFill="1" applyBorder="1" applyAlignment="1">
      <alignment horizontal="justify" vertical="top" wrapText="1"/>
    </xf>
    <xf numFmtId="164" fontId="0" fillId="10" borderId="6" xfId="0" applyNumberFormat="1" applyFill="1" applyBorder="1"/>
    <xf numFmtId="42" fontId="0" fillId="10" borderId="23" xfId="0" applyNumberFormat="1" applyFill="1" applyBorder="1"/>
    <xf numFmtId="0" fontId="3" fillId="11" borderId="22" xfId="0" applyFont="1" applyFill="1" applyBorder="1"/>
    <xf numFmtId="0" fontId="0" fillId="11" borderId="6" xfId="0" applyFill="1" applyBorder="1" applyAlignment="1">
      <alignment wrapText="1"/>
    </xf>
    <xf numFmtId="164" fontId="0" fillId="11" borderId="6" xfId="0" applyNumberFormat="1" applyFill="1" applyBorder="1"/>
    <xf numFmtId="42" fontId="0" fillId="11" borderId="23" xfId="0" applyNumberFormat="1" applyFill="1" applyBorder="1"/>
    <xf numFmtId="0" fontId="0" fillId="11" borderId="22" xfId="0" applyFill="1" applyBorder="1"/>
    <xf numFmtId="0" fontId="5" fillId="11" borderId="6" xfId="0" applyFont="1" applyFill="1" applyBorder="1" applyAlignment="1">
      <alignment horizontal="justify" vertical="top" wrapText="1"/>
    </xf>
    <xf numFmtId="164" fontId="3" fillId="11" borderId="6" xfId="0" applyNumberFormat="1" applyFont="1" applyFill="1" applyBorder="1"/>
    <xf numFmtId="42" fontId="3" fillId="11" borderId="23" xfId="0" applyNumberFormat="1" applyFont="1" applyFill="1" applyBorder="1"/>
    <xf numFmtId="1" fontId="0" fillId="11" borderId="6" xfId="0" applyNumberFormat="1" applyFill="1" applyBorder="1"/>
    <xf numFmtId="0" fontId="0" fillId="11" borderId="6" xfId="0" applyNumberFormat="1" applyFill="1" applyBorder="1"/>
    <xf numFmtId="1" fontId="0" fillId="11" borderId="23" xfId="0" applyNumberFormat="1" applyFill="1" applyBorder="1"/>
    <xf numFmtId="0" fontId="0" fillId="7" borderId="26" xfId="0" applyFill="1" applyBorder="1"/>
    <xf numFmtId="0" fontId="0" fillId="7" borderId="27" xfId="0" applyFill="1" applyBorder="1" applyAlignment="1">
      <alignment wrapText="1"/>
    </xf>
    <xf numFmtId="44" fontId="3" fillId="7" borderId="27" xfId="0" applyNumberFormat="1" applyFont="1" applyFill="1" applyBorder="1"/>
    <xf numFmtId="44" fontId="3" fillId="7" borderId="28" xfId="0" applyNumberFormat="1" applyFont="1" applyFill="1" applyBorder="1"/>
    <xf numFmtId="0" fontId="5" fillId="0" borderId="0" xfId="0" applyFont="1" applyFill="1" applyBorder="1" applyAlignment="1">
      <alignment horizontal="justify" vertical="top" wrapText="1"/>
    </xf>
    <xf numFmtId="1" fontId="0" fillId="0" borderId="0" xfId="0" applyNumberFormat="1"/>
    <xf numFmtId="0" fontId="0" fillId="0" borderId="0" xfId="0" applyFont="1" applyFill="1" applyBorder="1" applyAlignment="1">
      <alignment horizontal="justify" vertical="top" wrapText="1"/>
    </xf>
    <xf numFmtId="0" fontId="4" fillId="5" borderId="0" xfId="0" applyFont="1" applyFill="1" applyBorder="1" applyAlignment="1">
      <alignment horizontal="center" vertical="top" wrapText="1"/>
    </xf>
    <xf numFmtId="0" fontId="3" fillId="5" borderId="0" xfId="0" applyFont="1" applyFill="1"/>
    <xf numFmtId="0" fontId="0" fillId="0" borderId="0" xfId="0" applyFill="1"/>
    <xf numFmtId="0" fontId="4" fillId="12" borderId="24" xfId="0" applyFont="1" applyFill="1" applyBorder="1" applyAlignment="1">
      <alignment horizontal="center" vertical="top" wrapText="1"/>
    </xf>
    <xf numFmtId="0" fontId="3" fillId="12" borderId="0" xfId="0" applyFont="1" applyFill="1" applyBorder="1" applyAlignment="1">
      <alignment horizontal="center"/>
    </xf>
    <xf numFmtId="0" fontId="3" fillId="12" borderId="8" xfId="0" applyFont="1" applyFill="1" applyBorder="1" applyAlignment="1">
      <alignment horizontal="center"/>
    </xf>
    <xf numFmtId="0" fontId="4" fillId="10" borderId="24" xfId="0" applyFont="1" applyFill="1" applyBorder="1" applyAlignment="1">
      <alignment horizontal="center" vertical="top" wrapText="1"/>
    </xf>
    <xf numFmtId="0" fontId="3" fillId="10" borderId="0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top" wrapText="1"/>
    </xf>
    <xf numFmtId="164" fontId="5" fillId="12" borderId="13" xfId="0" applyNumberFormat="1" applyFont="1" applyFill="1" applyBorder="1" applyAlignment="1">
      <alignment horizontal="justify" vertical="top" wrapText="1"/>
    </xf>
    <xf numFmtId="164" fontId="5" fillId="12" borderId="6" xfId="0" applyNumberFormat="1" applyFont="1" applyFill="1" applyBorder="1" applyAlignment="1">
      <alignment horizontal="justify" vertical="top" wrapText="1"/>
    </xf>
    <xf numFmtId="164" fontId="5" fillId="12" borderId="14" xfId="0" applyNumberFormat="1" applyFont="1" applyFill="1" applyBorder="1" applyAlignment="1">
      <alignment horizontal="justify" vertical="top" wrapText="1"/>
    </xf>
    <xf numFmtId="164" fontId="5" fillId="10" borderId="13" xfId="0" applyNumberFormat="1" applyFont="1" applyFill="1" applyBorder="1" applyAlignment="1">
      <alignment horizontal="justify" vertical="top" wrapText="1"/>
    </xf>
    <xf numFmtId="164" fontId="5" fillId="10" borderId="6" xfId="0" applyNumberFormat="1" applyFont="1" applyFill="1" applyBorder="1" applyAlignment="1">
      <alignment horizontal="justify" vertical="top" wrapText="1"/>
    </xf>
    <xf numFmtId="164" fontId="5" fillId="10" borderId="14" xfId="0" applyNumberFormat="1" applyFont="1" applyFill="1" applyBorder="1" applyAlignment="1">
      <alignment horizontal="justify" vertical="top" wrapText="1"/>
    </xf>
    <xf numFmtId="164" fontId="4" fillId="5" borderId="49" xfId="0" applyNumberFormat="1" applyFont="1" applyFill="1" applyBorder="1" applyAlignment="1">
      <alignment horizontal="justify" vertical="top" wrapText="1"/>
    </xf>
    <xf numFmtId="164" fontId="5" fillId="12" borderId="38" xfId="0" applyNumberFormat="1" applyFont="1" applyFill="1" applyBorder="1" applyAlignment="1">
      <alignment horizontal="justify" vertical="top" wrapText="1"/>
    </xf>
    <xf numFmtId="164" fontId="5" fillId="12" borderId="27" xfId="0" applyNumberFormat="1" applyFont="1" applyFill="1" applyBorder="1" applyAlignment="1">
      <alignment horizontal="justify" vertical="top" wrapText="1"/>
    </xf>
    <xf numFmtId="164" fontId="5" fillId="12" borderId="39" xfId="0" applyNumberFormat="1" applyFont="1" applyFill="1" applyBorder="1" applyAlignment="1">
      <alignment horizontal="justify" vertical="top" wrapText="1"/>
    </xf>
    <xf numFmtId="164" fontId="5" fillId="10" borderId="38" xfId="0" applyNumberFormat="1" applyFont="1" applyFill="1" applyBorder="1" applyAlignment="1">
      <alignment horizontal="justify" vertical="top" wrapText="1"/>
    </xf>
    <xf numFmtId="164" fontId="5" fillId="10" borderId="27" xfId="0" applyNumberFormat="1" applyFont="1" applyFill="1" applyBorder="1" applyAlignment="1">
      <alignment horizontal="justify" vertical="top" wrapText="1"/>
    </xf>
    <xf numFmtId="164" fontId="5" fillId="10" borderId="39" xfId="0" applyNumberFormat="1" applyFont="1" applyFill="1" applyBorder="1" applyAlignment="1">
      <alignment horizontal="justify" vertical="top" wrapText="1"/>
    </xf>
    <xf numFmtId="164" fontId="4" fillId="5" borderId="50" xfId="0" applyNumberFormat="1" applyFont="1" applyFill="1" applyBorder="1" applyAlignment="1">
      <alignment horizontal="justify" vertical="top" wrapText="1"/>
    </xf>
    <xf numFmtId="0" fontId="9" fillId="0" borderId="51" xfId="0" applyFont="1" applyBorder="1" applyAlignment="1">
      <alignment horizontal="center"/>
    </xf>
    <xf numFmtId="0" fontId="9" fillId="5" borderId="46" xfId="0" applyFont="1" applyFill="1" applyBorder="1" applyAlignment="1">
      <alignment horizontal="center"/>
    </xf>
    <xf numFmtId="0" fontId="9" fillId="5" borderId="53" xfId="0" applyFont="1" applyFill="1" applyBorder="1" applyAlignment="1">
      <alignment horizontal="center" wrapText="1"/>
    </xf>
    <xf numFmtId="0" fontId="9" fillId="5" borderId="29" xfId="0" applyFont="1" applyFill="1" applyBorder="1" applyAlignment="1">
      <alignment horizontal="center"/>
    </xf>
    <xf numFmtId="0" fontId="0" fillId="0" borderId="49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0" fillId="11" borderId="49" xfId="0" applyFill="1" applyBorder="1" applyAlignment="1">
      <alignment horizontal="center" vertical="center" wrapText="1"/>
    </xf>
    <xf numFmtId="0" fontId="0" fillId="11" borderId="49" xfId="0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3" fillId="5" borderId="51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9" fillId="13" borderId="51" xfId="0" applyFont="1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13" borderId="45" xfId="0" applyFont="1" applyFill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5" borderId="4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/>
    </xf>
    <xf numFmtId="0" fontId="0" fillId="10" borderId="13" xfId="0" applyFill="1" applyBorder="1" applyAlignment="1">
      <alignment horizontal="center" vertical="center"/>
    </xf>
    <xf numFmtId="0" fontId="0" fillId="10" borderId="49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3" borderId="56" xfId="0" applyFill="1" applyBorder="1" applyAlignment="1">
      <alignment horizontal="center"/>
    </xf>
    <xf numFmtId="0" fontId="3" fillId="14" borderId="40" xfId="0" applyFont="1" applyFill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0" fillId="5" borderId="45" xfId="0" applyFill="1" applyBorder="1"/>
    <xf numFmtId="17" fontId="9" fillId="0" borderId="51" xfId="0" applyNumberFormat="1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13" borderId="60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5" borderId="45" xfId="0" applyFont="1" applyFill="1" applyBorder="1" applyAlignment="1">
      <alignment horizontal="center"/>
    </xf>
    <xf numFmtId="0" fontId="9" fillId="5" borderId="62" xfId="0" applyFont="1" applyFill="1" applyBorder="1" applyAlignment="1">
      <alignment horizontal="center" wrapText="1"/>
    </xf>
    <xf numFmtId="0" fontId="9" fillId="5" borderId="34" xfId="0" applyFont="1" applyFill="1" applyBorder="1" applyAlignment="1">
      <alignment horizontal="center" wrapText="1"/>
    </xf>
    <xf numFmtId="0" fontId="9" fillId="13" borderId="45" xfId="0" applyFont="1" applyFill="1" applyBorder="1" applyAlignment="1">
      <alignment horizontal="center" wrapText="1"/>
    </xf>
    <xf numFmtId="0" fontId="9" fillId="5" borderId="63" xfId="0" applyFont="1" applyFill="1" applyBorder="1" applyAlignment="1">
      <alignment horizontal="center" wrapText="1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3" borderId="49" xfId="0" applyFon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5" borderId="4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0" fontId="0" fillId="11" borderId="64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3" borderId="5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15" borderId="56" xfId="0" applyFill="1" applyBorder="1" applyAlignment="1">
      <alignment horizontal="center"/>
    </xf>
    <xf numFmtId="0" fontId="0" fillId="0" borderId="24" xfId="0" applyFill="1" applyBorder="1" applyAlignment="1">
      <alignment horizontal="left" vertical="center"/>
    </xf>
    <xf numFmtId="0" fontId="0" fillId="14" borderId="24" xfId="0" applyFill="1" applyBorder="1" applyAlignment="1"/>
    <xf numFmtId="0" fontId="0" fillId="14" borderId="0" xfId="0" applyFill="1" applyBorder="1"/>
    <xf numFmtId="0" fontId="3" fillId="14" borderId="40" xfId="0" applyFont="1" applyFill="1" applyBorder="1"/>
    <xf numFmtId="0" fontId="0" fillId="14" borderId="41" xfId="0" applyFill="1" applyBorder="1"/>
    <xf numFmtId="0" fontId="0" fillId="12" borderId="2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0" fillId="5" borderId="49" xfId="0" applyFill="1" applyBorder="1" applyAlignment="1">
      <alignment horizontal="center"/>
    </xf>
    <xf numFmtId="0" fontId="3" fillId="14" borderId="60" xfId="0" applyFont="1" applyFill="1" applyBorder="1" applyAlignment="1">
      <alignment horizontal="center"/>
    </xf>
    <xf numFmtId="0" fontId="3" fillId="14" borderId="51" xfId="0" applyFont="1" applyFill="1" applyBorder="1" applyAlignment="1">
      <alignment horizontal="center"/>
    </xf>
    <xf numFmtId="0" fontId="10" fillId="0" borderId="0" xfId="0" applyFont="1"/>
    <xf numFmtId="0" fontId="0" fillId="7" borderId="2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right" vertical="center" wrapText="1"/>
    </xf>
    <xf numFmtId="0" fontId="10" fillId="0" borderId="53" xfId="0" applyFont="1" applyFill="1" applyBorder="1"/>
    <xf numFmtId="0" fontId="10" fillId="7" borderId="54" xfId="0" applyFont="1" applyFill="1" applyBorder="1"/>
    <xf numFmtId="0" fontId="11" fillId="7" borderId="54" xfId="0" applyFont="1" applyFill="1" applyBorder="1" applyAlignment="1">
      <alignment horizontal="center" vertical="center"/>
    </xf>
    <xf numFmtId="0" fontId="10" fillId="0" borderId="54" xfId="0" applyFont="1" applyFill="1" applyBorder="1"/>
    <xf numFmtId="0" fontId="10" fillId="7" borderId="48" xfId="0" applyFont="1" applyFill="1" applyBorder="1"/>
    <xf numFmtId="0" fontId="10" fillId="0" borderId="22" xfId="0" applyFont="1" applyFill="1" applyBorder="1"/>
    <xf numFmtId="0" fontId="10" fillId="7" borderId="6" xfId="0" applyFont="1" applyFill="1" applyBorder="1"/>
    <xf numFmtId="0" fontId="11" fillId="7" borderId="6" xfId="0" applyFont="1" applyFill="1" applyBorder="1" applyAlignment="1">
      <alignment horizontal="center" vertical="center"/>
    </xf>
    <xf numFmtId="0" fontId="10" fillId="0" borderId="6" xfId="0" applyFont="1" applyFill="1" applyBorder="1"/>
    <xf numFmtId="0" fontId="10" fillId="7" borderId="23" xfId="0" applyFont="1" applyFill="1" applyBorder="1"/>
    <xf numFmtId="0" fontId="11" fillId="0" borderId="6" xfId="0" applyFont="1" applyFill="1" applyBorder="1" applyAlignment="1">
      <alignment horizontal="center" vertical="center"/>
    </xf>
    <xf numFmtId="0" fontId="10" fillId="0" borderId="22" xfId="0" applyFont="1" applyBorder="1"/>
    <xf numFmtId="0" fontId="10" fillId="0" borderId="6" xfId="0" applyFont="1" applyBorder="1"/>
    <xf numFmtId="0" fontId="10" fillId="0" borderId="6" xfId="0" applyFont="1" applyFill="1" applyBorder="1" applyAlignment="1">
      <alignment horizontal="center" vertical="center"/>
    </xf>
    <xf numFmtId="0" fontId="10" fillId="0" borderId="23" xfId="0" applyFont="1" applyBorder="1"/>
    <xf numFmtId="0" fontId="10" fillId="0" borderId="6" xfId="0" applyFont="1" applyFill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10" fillId="0" borderId="27" xfId="0" applyFont="1" applyFill="1" applyBorder="1" applyAlignment="1">
      <alignment horizontal="center"/>
    </xf>
    <xf numFmtId="0" fontId="10" fillId="0" borderId="28" xfId="0" applyFont="1" applyBorder="1"/>
    <xf numFmtId="0" fontId="10" fillId="7" borderId="51" xfId="0" applyFont="1" applyFill="1" applyBorder="1" applyAlignment="1">
      <alignment wrapText="1"/>
    </xf>
    <xf numFmtId="1" fontId="10" fillId="0" borderId="0" xfId="0" applyNumberFormat="1" applyFont="1"/>
    <xf numFmtId="1" fontId="0" fillId="0" borderId="6" xfId="0" applyNumberFormat="1" applyFill="1" applyBorder="1" applyAlignment="1">
      <alignment horizontal="right" vertical="center" wrapText="1"/>
    </xf>
    <xf numFmtId="0" fontId="8" fillId="5" borderId="40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8" fillId="11" borderId="40" xfId="0" applyFont="1" applyFill="1" applyBorder="1" applyAlignment="1">
      <alignment horizontal="center"/>
    </xf>
    <xf numFmtId="0" fontId="8" fillId="11" borderId="41" xfId="0" applyFont="1" applyFill="1" applyBorder="1" applyAlignment="1">
      <alignment horizontal="center"/>
    </xf>
    <xf numFmtId="0" fontId="8" fillId="11" borderId="42" xfId="0" applyFont="1" applyFill="1" applyBorder="1" applyAlignment="1">
      <alignment horizontal="center"/>
    </xf>
    <xf numFmtId="0" fontId="8" fillId="10" borderId="40" xfId="0" applyFont="1" applyFill="1" applyBorder="1" applyAlignment="1">
      <alignment horizontal="center"/>
    </xf>
    <xf numFmtId="0" fontId="8" fillId="10" borderId="41" xfId="0" applyFont="1" applyFill="1" applyBorder="1" applyAlignment="1">
      <alignment horizontal="center"/>
    </xf>
    <xf numFmtId="0" fontId="8" fillId="10" borderId="42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 vertical="top"/>
    </xf>
    <xf numFmtId="0" fontId="8" fillId="5" borderId="41" xfId="0" applyFont="1" applyFill="1" applyBorder="1" applyAlignment="1">
      <alignment horizontal="center" vertical="top"/>
    </xf>
    <xf numFmtId="0" fontId="8" fillId="5" borderId="42" xfId="0" applyFont="1" applyFill="1" applyBorder="1" applyAlignment="1">
      <alignment horizontal="center" vertical="top"/>
    </xf>
    <xf numFmtId="0" fontId="9" fillId="15" borderId="45" xfId="0" applyFont="1" applyFill="1" applyBorder="1" applyAlignment="1">
      <alignment horizontal="center"/>
    </xf>
    <xf numFmtId="0" fontId="9" fillId="15" borderId="6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1" fontId="4" fillId="4" borderId="1" xfId="0" applyNumberFormat="1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1" fontId="4" fillId="4" borderId="22" xfId="0" applyNumberFormat="1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4" fillId="12" borderId="40" xfId="0" applyFont="1" applyFill="1" applyBorder="1" applyAlignment="1">
      <alignment horizontal="center" vertical="top" wrapText="1"/>
    </xf>
    <xf numFmtId="0" fontId="4" fillId="12" borderId="41" xfId="0" applyFont="1" applyFill="1" applyBorder="1" applyAlignment="1">
      <alignment horizontal="center" vertical="top" wrapText="1"/>
    </xf>
    <xf numFmtId="0" fontId="4" fillId="12" borderId="42" xfId="0" applyFont="1" applyFill="1" applyBorder="1" applyAlignment="1">
      <alignment horizontal="center" vertical="top" wrapText="1"/>
    </xf>
    <xf numFmtId="0" fontId="4" fillId="10" borderId="40" xfId="0" applyFont="1" applyFill="1" applyBorder="1" applyAlignment="1">
      <alignment horizontal="center" vertical="top" wrapText="1"/>
    </xf>
    <xf numFmtId="0" fontId="4" fillId="10" borderId="41" xfId="0" applyFont="1" applyFill="1" applyBorder="1" applyAlignment="1">
      <alignment horizontal="center" vertical="top" wrapText="1"/>
    </xf>
    <xf numFmtId="0" fontId="4" fillId="10" borderId="42" xfId="0" applyFont="1" applyFill="1" applyBorder="1" applyAlignment="1">
      <alignment horizontal="center" vertical="top" wrapText="1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2584212999576"/>
          <c:y val="5.104606751742239E-2"/>
          <c:w val="0.57113227658769727"/>
          <c:h val="0.79664766042175761"/>
        </c:manualLayout>
      </c:layout>
      <c:lineChart>
        <c:grouping val="standard"/>
        <c:varyColors val="0"/>
        <c:ser>
          <c:idx val="1"/>
          <c:order val="0"/>
          <c:tx>
            <c:strRef>
              <c:f>'[3]Revised Chart'!$J$27</c:f>
              <c:strCache>
                <c:ptCount val="1"/>
                <c:pt idx="0">
                  <c:v>2015 LO Estimate</c:v>
                </c:pt>
              </c:strCache>
            </c:strRef>
          </c:tx>
          <c:marker>
            <c:symbol val="none"/>
          </c:marker>
          <c:cat>
            <c:numRef>
              <c:f>'[3]Revised Chart'!$I$28:$I$39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'[3]Revised Chart'!$J$28:$J$39</c:f>
              <c:numCache>
                <c:formatCode>General</c:formatCode>
                <c:ptCount val="12"/>
                <c:pt idx="0">
                  <c:v>105</c:v>
                </c:pt>
                <c:pt idx="1">
                  <c:v>327</c:v>
                </c:pt>
                <c:pt idx="2">
                  <c:v>982</c:v>
                </c:pt>
                <c:pt idx="3">
                  <c:v>1954</c:v>
                </c:pt>
                <c:pt idx="4">
                  <c:v>3124</c:v>
                </c:pt>
                <c:pt idx="5">
                  <c:v>4480</c:v>
                </c:pt>
                <c:pt idx="6">
                  <c:v>5915</c:v>
                </c:pt>
                <c:pt idx="7">
                  <c:v>7335</c:v>
                </c:pt>
                <c:pt idx="8">
                  <c:v>8520</c:v>
                </c:pt>
                <c:pt idx="9">
                  <c:v>9470</c:v>
                </c:pt>
                <c:pt idx="10">
                  <c:v>10230</c:v>
                </c:pt>
                <c:pt idx="11">
                  <c:v>10603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'[3]Revised Chart'!$K$27</c:f>
              <c:strCache>
                <c:ptCount val="1"/>
                <c:pt idx="0">
                  <c:v>2016 LO Estimate</c:v>
                </c:pt>
              </c:strCache>
            </c:strRef>
          </c:tx>
          <c:marker>
            <c:symbol val="none"/>
          </c:marker>
          <c:cat>
            <c:numRef>
              <c:f>'[3]Revised Chart'!$I$28:$I$39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'[3]Revised Chart'!$K$28:$K$39</c:f>
              <c:numCache>
                <c:formatCode>General</c:formatCode>
                <c:ptCount val="12"/>
                <c:pt idx="0">
                  <c:v>105</c:v>
                </c:pt>
                <c:pt idx="1">
                  <c:v>327</c:v>
                </c:pt>
                <c:pt idx="2">
                  <c:v>722</c:v>
                </c:pt>
                <c:pt idx="3">
                  <c:v>894</c:v>
                </c:pt>
                <c:pt idx="4">
                  <c:v>1370</c:v>
                </c:pt>
                <c:pt idx="5">
                  <c:v>1884</c:v>
                </c:pt>
                <c:pt idx="6">
                  <c:v>2587</c:v>
                </c:pt>
                <c:pt idx="7">
                  <c:v>3510</c:v>
                </c:pt>
                <c:pt idx="8">
                  <c:v>4555</c:v>
                </c:pt>
                <c:pt idx="9">
                  <c:v>5690</c:v>
                </c:pt>
                <c:pt idx="10">
                  <c:v>6725</c:v>
                </c:pt>
                <c:pt idx="11">
                  <c:v>7675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'[3]Revised Chart'!$L$27</c:f>
              <c:strCache>
                <c:ptCount val="1"/>
                <c:pt idx="0">
                  <c:v>2017 LO Estimate</c:v>
                </c:pt>
              </c:strCache>
            </c:strRef>
          </c:tx>
          <c:marker>
            <c:symbol val="none"/>
          </c:marker>
          <c:cat>
            <c:numRef>
              <c:f>'[3]Revised Chart'!$I$28:$I$39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'[3]Revised Chart'!$L$28:$L$39</c:f>
              <c:numCache>
                <c:formatCode>General</c:formatCode>
                <c:ptCount val="12"/>
                <c:pt idx="0">
                  <c:v>105</c:v>
                </c:pt>
                <c:pt idx="1">
                  <c:v>327</c:v>
                </c:pt>
                <c:pt idx="2">
                  <c:v>722</c:v>
                </c:pt>
                <c:pt idx="3">
                  <c:v>885</c:v>
                </c:pt>
                <c:pt idx="4">
                  <c:v>1203</c:v>
                </c:pt>
                <c:pt idx="5">
                  <c:v>1698</c:v>
                </c:pt>
                <c:pt idx="6">
                  <c:v>2441</c:v>
                </c:pt>
                <c:pt idx="7">
                  <c:v>3404</c:v>
                </c:pt>
                <c:pt idx="8">
                  <c:v>4474</c:v>
                </c:pt>
                <c:pt idx="9">
                  <c:v>5659</c:v>
                </c:pt>
                <c:pt idx="10">
                  <c:v>6744</c:v>
                </c:pt>
                <c:pt idx="11">
                  <c:v>7744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'[3]Revised Chart'!$M$27</c:f>
              <c:strCache>
                <c:ptCount val="1"/>
                <c:pt idx="0">
                  <c:v>2018 LO Estimate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'[3]Revised Chart'!$M$28:$M$39</c:f>
              <c:numCache>
                <c:formatCode>General</c:formatCode>
                <c:ptCount val="12"/>
                <c:pt idx="0">
                  <c:v>105</c:v>
                </c:pt>
                <c:pt idx="1">
                  <c:v>327</c:v>
                </c:pt>
                <c:pt idx="2">
                  <c:v>722</c:v>
                </c:pt>
                <c:pt idx="3">
                  <c:v>885</c:v>
                </c:pt>
                <c:pt idx="4">
                  <c:v>1044</c:v>
                </c:pt>
                <c:pt idx="5">
                  <c:v>1182</c:v>
                </c:pt>
                <c:pt idx="6">
                  <c:v>1556</c:v>
                </c:pt>
                <c:pt idx="7">
                  <c:v>2053</c:v>
                </c:pt>
                <c:pt idx="8">
                  <c:v>2837</c:v>
                </c:pt>
                <c:pt idx="9">
                  <c:v>3893</c:v>
                </c:pt>
                <c:pt idx="10">
                  <c:v>5021</c:v>
                </c:pt>
                <c:pt idx="11">
                  <c:v>6136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'[3]Revised Chart'!$N$27</c:f>
              <c:strCache>
                <c:ptCount val="1"/>
                <c:pt idx="0">
                  <c:v>I.D. Forecast (2013)</c:v>
                </c:pt>
              </c:strCache>
            </c:strRef>
          </c:tx>
          <c:marker>
            <c:symbol val="none"/>
          </c:marker>
          <c:cat>
            <c:numRef>
              <c:f>'[3]Revised Chart'!$I$28:$I$39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'[3]Revised Chart'!$N$28:$N$39</c:f>
              <c:numCache>
                <c:formatCode>General</c:formatCode>
                <c:ptCount val="12"/>
                <c:pt idx="0">
                  <c:v>353</c:v>
                </c:pt>
                <c:pt idx="1">
                  <c:v>573</c:v>
                </c:pt>
                <c:pt idx="2">
                  <c:v>874</c:v>
                </c:pt>
                <c:pt idx="3">
                  <c:v>1381</c:v>
                </c:pt>
                <c:pt idx="4">
                  <c:v>1945</c:v>
                </c:pt>
                <c:pt idx="5">
                  <c:v>2392</c:v>
                </c:pt>
                <c:pt idx="6">
                  <c:v>2747</c:v>
                </c:pt>
                <c:pt idx="7">
                  <c:v>3125</c:v>
                </c:pt>
                <c:pt idx="8">
                  <c:v>3548</c:v>
                </c:pt>
                <c:pt idx="9">
                  <c:v>3989</c:v>
                </c:pt>
                <c:pt idx="10">
                  <c:v>4437</c:v>
                </c:pt>
                <c:pt idx="11">
                  <c:v>4895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'[3]Revised Chart'!$O$27</c:f>
              <c:strCache>
                <c:ptCount val="1"/>
                <c:pt idx="0">
                  <c:v>Actual Trend</c:v>
                </c:pt>
              </c:strCache>
            </c:strRef>
          </c:tx>
          <c:marker>
            <c:symbol val="none"/>
          </c:marker>
          <c:cat>
            <c:numRef>
              <c:f>'[3]Revised Chart'!$I$28:$I$39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'[3]Revised Chart'!$O$28:$O$39</c:f>
              <c:numCache>
                <c:formatCode>General</c:formatCode>
                <c:ptCount val="12"/>
                <c:pt idx="0">
                  <c:v>105</c:v>
                </c:pt>
                <c:pt idx="1">
                  <c:v>327</c:v>
                </c:pt>
                <c:pt idx="2">
                  <c:v>722</c:v>
                </c:pt>
                <c:pt idx="3">
                  <c:v>885</c:v>
                </c:pt>
                <c:pt idx="4">
                  <c:v>1044</c:v>
                </c:pt>
                <c:pt idx="5">
                  <c:v>1182</c:v>
                </c:pt>
                <c:pt idx="6">
                  <c:v>1537</c:v>
                </c:pt>
                <c:pt idx="7">
                  <c:v>1915</c:v>
                </c:pt>
                <c:pt idx="8">
                  <c:v>2338</c:v>
                </c:pt>
                <c:pt idx="9">
                  <c:v>2779</c:v>
                </c:pt>
                <c:pt idx="10">
                  <c:v>3227</c:v>
                </c:pt>
                <c:pt idx="11">
                  <c:v>3685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22144"/>
        <c:axId val="74423680"/>
      </c:lineChart>
      <c:catAx>
        <c:axId val="744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423680"/>
        <c:crosses val="autoZero"/>
        <c:auto val="1"/>
        <c:lblAlgn val="ctr"/>
        <c:lblOffset val="100"/>
        <c:noMultiLvlLbl val="0"/>
      </c:catAx>
      <c:valAx>
        <c:axId val="7442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42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152399</xdr:colOff>
      <xdr:row>17</xdr:row>
      <xdr:rowOff>180975</xdr:rowOff>
    </xdr:from>
    <xdr:to>
      <xdr:col>36</xdr:col>
      <xdr:colOff>544286</xdr:colOff>
      <xdr:row>35</xdr:row>
      <xdr:rowOff>40822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pital%20Works%20Reports\TEN%20YEAR%20Capital%20Works%20Program\Datasheets\Sub%20Program%20Working%20Papers\Tool%20-%20Community%20Buildin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veloper_Contribution_Schemes\LPP3.3%20-%20Contributions\Contributions%20Schedule\Yanchep-Two%20Rocks\Annual%20Review%202018\WEBSITE\Yanchep-Two%20Rocks%20DC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veloper_Contribution_Schemes\LPP3.3%20-%20Contributions\Contributions%20Schedule\Yanchep-Two%20Rocks\Annual%20Review%202018\WEBSITE\YTR%20-%20Projec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rojectCost"/>
      <sheetName val="2.ProjectCostEscalation"/>
      <sheetName val="3.RecurrentCost"/>
      <sheetName val="4.RecurrentCostEscalation"/>
      <sheetName val="5.Report"/>
      <sheetName val="6.DataNoEscalation"/>
      <sheetName val="Lookups"/>
      <sheetName val="Data"/>
      <sheetName val="Pivo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Bus Shelters</v>
          </cell>
          <cell r="C6" t="str">
            <v>Harminder Singh</v>
          </cell>
          <cell r="E6">
            <v>1</v>
          </cell>
          <cell r="F6" t="str">
            <v>2016/2017</v>
          </cell>
          <cell r="H6" t="str">
            <v>Municipal</v>
          </cell>
        </row>
        <row r="7">
          <cell r="B7" t="str">
            <v>Community Buildings</v>
          </cell>
          <cell r="C7" t="str">
            <v>Shane Spinks</v>
          </cell>
          <cell r="E7">
            <v>2</v>
          </cell>
          <cell r="F7" t="str">
            <v>2017/2018</v>
          </cell>
          <cell r="H7" t="str">
            <v>Grants</v>
          </cell>
        </row>
        <row r="8">
          <cell r="B8" t="str">
            <v>Community Safety</v>
          </cell>
          <cell r="C8" t="str">
            <v>Trevor Prentis</v>
          </cell>
          <cell r="E8">
            <v>3</v>
          </cell>
          <cell r="F8" t="str">
            <v>2018/2019</v>
          </cell>
          <cell r="H8" t="str">
            <v>Contributions</v>
          </cell>
        </row>
        <row r="9">
          <cell r="B9" t="str">
            <v>Conservation Reserves</v>
          </cell>
          <cell r="C9" t="str">
            <v>Jim Duff</v>
          </cell>
          <cell r="E9">
            <v>4</v>
          </cell>
          <cell r="F9" t="str">
            <v>2019/2020</v>
          </cell>
          <cell r="H9" t="str">
            <v>Reserve</v>
          </cell>
        </row>
        <row r="10">
          <cell r="B10" t="str">
            <v>Corporate Buildings</v>
          </cell>
          <cell r="C10" t="str">
            <v>Harminder Singh</v>
          </cell>
          <cell r="E10">
            <v>5</v>
          </cell>
          <cell r="F10" t="str">
            <v>2020/2021</v>
          </cell>
          <cell r="H10" t="str">
            <v>Loan</v>
          </cell>
        </row>
        <row r="11">
          <cell r="B11" t="str">
            <v>Environmental Offset</v>
          </cell>
          <cell r="C11" t="str">
            <v>Jim Duff</v>
          </cell>
          <cell r="E11">
            <v>6</v>
          </cell>
          <cell r="F11" t="str">
            <v>2021/2022</v>
          </cell>
          <cell r="H11" t="str">
            <v>TPS</v>
          </cell>
        </row>
        <row r="12">
          <cell r="B12" t="str">
            <v>Fleet Mgt - Corporate</v>
          </cell>
          <cell r="C12" t="str">
            <v>Harminder Singh</v>
          </cell>
          <cell r="E12">
            <v>7</v>
          </cell>
          <cell r="F12" t="str">
            <v>2022/2023</v>
          </cell>
        </row>
        <row r="13">
          <cell r="B13" t="str">
            <v>Foreshore Management</v>
          </cell>
          <cell r="C13" t="str">
            <v>John Doran</v>
          </cell>
          <cell r="E13">
            <v>8</v>
          </cell>
          <cell r="F13" t="str">
            <v>2023/2024</v>
          </cell>
        </row>
        <row r="14">
          <cell r="B14" t="str">
            <v>Golf Courses</v>
          </cell>
          <cell r="C14" t="str">
            <v>Michael Penson</v>
          </cell>
          <cell r="E14">
            <v>9</v>
          </cell>
          <cell r="F14" t="str">
            <v>2024/2025</v>
          </cell>
        </row>
        <row r="15">
          <cell r="B15" t="str">
            <v>Investment Projects</v>
          </cell>
          <cell r="C15" t="str">
            <v>Michael Penson</v>
          </cell>
          <cell r="E15">
            <v>10</v>
          </cell>
          <cell r="F15" t="str">
            <v>2025/2026</v>
          </cell>
        </row>
        <row r="16">
          <cell r="B16" t="str">
            <v>IT Equipment &amp; Software</v>
          </cell>
          <cell r="C16" t="str">
            <v>Tim Evans</v>
          </cell>
          <cell r="E16">
            <v>11</v>
          </cell>
          <cell r="F16" t="str">
            <v>2026/2027</v>
          </cell>
        </row>
        <row r="17">
          <cell r="B17" t="str">
            <v>Other Corporate Items</v>
          </cell>
          <cell r="C17" t="str">
            <v>Harminder Singh</v>
          </cell>
          <cell r="E17">
            <v>12</v>
          </cell>
          <cell r="F17" t="str">
            <v>2027/2028</v>
          </cell>
        </row>
        <row r="18">
          <cell r="B18" t="str">
            <v>Parks Furniture</v>
          </cell>
          <cell r="C18" t="str">
            <v>Shane Spinks</v>
          </cell>
          <cell r="E18">
            <v>13</v>
          </cell>
          <cell r="F18" t="str">
            <v>2028/2029</v>
          </cell>
        </row>
        <row r="19">
          <cell r="B19" t="str">
            <v>Parks Rehabilitation</v>
          </cell>
          <cell r="C19" t="str">
            <v>Grant Chettleburgh</v>
          </cell>
          <cell r="E19">
            <v>14</v>
          </cell>
          <cell r="F19" t="str">
            <v>2029/2030</v>
          </cell>
        </row>
        <row r="20">
          <cell r="B20" t="str">
            <v>Passive Park Development</v>
          </cell>
          <cell r="C20" t="str">
            <v>Shane Spinks</v>
          </cell>
          <cell r="E20">
            <v>15</v>
          </cell>
          <cell r="F20" t="str">
            <v>2030/2031</v>
          </cell>
        </row>
        <row r="21">
          <cell r="B21" t="str">
            <v>Pathways and Trails</v>
          </cell>
          <cell r="C21" t="str">
            <v>Harminder Singh</v>
          </cell>
          <cell r="E21">
            <v>16</v>
          </cell>
          <cell r="F21" t="str">
            <v>2031/2032</v>
          </cell>
        </row>
        <row r="22">
          <cell r="B22" t="str">
            <v>Roads</v>
          </cell>
          <cell r="C22" t="str">
            <v>Jim Duff</v>
          </cell>
          <cell r="E22">
            <v>17</v>
          </cell>
          <cell r="F22" t="str">
            <v>2032/2033</v>
          </cell>
        </row>
        <row r="23">
          <cell r="B23" t="str">
            <v>Sports Facilities</v>
          </cell>
          <cell r="C23" t="str">
            <v>Shane Spinks</v>
          </cell>
          <cell r="E23">
            <v>18</v>
          </cell>
          <cell r="F23" t="str">
            <v>2033/2034</v>
          </cell>
        </row>
        <row r="24">
          <cell r="B24" t="str">
            <v>Stormwater Drainage</v>
          </cell>
          <cell r="C24" t="str">
            <v>John Doran</v>
          </cell>
          <cell r="E24">
            <v>19</v>
          </cell>
          <cell r="F24" t="str">
            <v>2034/2035</v>
          </cell>
        </row>
        <row r="25">
          <cell r="B25" t="str">
            <v>Street Landscaping</v>
          </cell>
          <cell r="C25" t="str">
            <v>Jim Duff</v>
          </cell>
          <cell r="E25">
            <v>20</v>
          </cell>
          <cell r="F25" t="str">
            <v>2035/2036</v>
          </cell>
        </row>
        <row r="26">
          <cell r="B26" t="str">
            <v>Street Lighting</v>
          </cell>
          <cell r="C26" t="str">
            <v>Harminder Singh</v>
          </cell>
        </row>
        <row r="27">
          <cell r="B27" t="str">
            <v>Traffic Treatments</v>
          </cell>
          <cell r="C27" t="str">
            <v>Harminder Singh</v>
          </cell>
        </row>
        <row r="28">
          <cell r="B28" t="str">
            <v>Waste Management</v>
          </cell>
          <cell r="C28" t="str">
            <v>Chris Pavitt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Landowner Proj "/>
      <sheetName val="Landowner lot creation"/>
      <sheetName val="Graph"/>
      <sheetName val="Yanchep-Two Rocks"/>
      <sheetName val="10 YR BUDGET - Yanchep-Two Rock"/>
      <sheetName val="Actual to Landowner"/>
      <sheetName val="Forecast Projections"/>
      <sheetName val="Costs for funding projects"/>
      <sheetName val="Costs for funding projects (2)"/>
      <sheetName val="FINAL - Cost Apportionment"/>
      <sheetName val="Final Costs"/>
      <sheetName val="YSLSC - Adopted Costs"/>
      <sheetName val="Landowner Projections"/>
      <sheetName val="Revised - Cost Apportionment"/>
      <sheetName val="Revised Forecast Projections"/>
      <sheetName val="Lot-Dwelling Projections"/>
      <sheetName val="Sheet1"/>
      <sheetName val="draft Revised projections 2018"/>
      <sheetName val="Annual Cost Comparison"/>
    </sheetNames>
    <sheetDataSet>
      <sheetData sheetId="0"/>
      <sheetData sheetId="1"/>
      <sheetData sheetId="2"/>
      <sheetData sheetId="3">
        <row r="13">
          <cell r="F13">
            <v>105</v>
          </cell>
        </row>
        <row r="48">
          <cell r="I48">
            <v>-17168.13</v>
          </cell>
        </row>
        <row r="63">
          <cell r="I63">
            <v>-26497.8</v>
          </cell>
        </row>
        <row r="64">
          <cell r="I64">
            <v>-52600.92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8">
          <cell r="B108">
            <v>95001.83</v>
          </cell>
        </row>
        <row r="113">
          <cell r="B113">
            <v>2900</v>
          </cell>
        </row>
        <row r="125">
          <cell r="B125">
            <v>705000</v>
          </cell>
        </row>
      </sheetData>
      <sheetData sheetId="11"/>
      <sheetData sheetId="12"/>
      <sheetData sheetId="13"/>
      <sheetData sheetId="14"/>
      <sheetData sheetId="15">
        <row r="41">
          <cell r="N41">
            <v>355</v>
          </cell>
        </row>
        <row r="49">
          <cell r="AA49">
            <v>561</v>
          </cell>
        </row>
        <row r="50">
          <cell r="AA50">
            <v>596</v>
          </cell>
        </row>
        <row r="51">
          <cell r="AA51">
            <v>640</v>
          </cell>
        </row>
        <row r="52">
          <cell r="AA52">
            <v>690</v>
          </cell>
        </row>
        <row r="53">
          <cell r="AA53">
            <v>730</v>
          </cell>
        </row>
        <row r="54">
          <cell r="AA54">
            <v>780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Sheet2"/>
      <sheetName val="Revised Chart"/>
      <sheetName val="Scenarios"/>
    </sheetNames>
    <sheetDataSet>
      <sheetData sheetId="0"/>
      <sheetData sheetId="1"/>
      <sheetData sheetId="2">
        <row r="27">
          <cell r="J27" t="str">
            <v>2015 LO Estimate</v>
          </cell>
          <cell r="K27" t="str">
            <v>2016 LO Estimate</v>
          </cell>
          <cell r="L27" t="str">
            <v>2017 LO Estimate</v>
          </cell>
          <cell r="M27" t="str">
            <v>2018 LO Estimate</v>
          </cell>
          <cell r="N27" t="str">
            <v>I.D. Forecast (2013)</v>
          </cell>
          <cell r="O27" t="str">
            <v>Actual Trend</v>
          </cell>
        </row>
        <row r="28">
          <cell r="I28">
            <v>2013</v>
          </cell>
          <cell r="J28">
            <v>105</v>
          </cell>
          <cell r="K28">
            <v>105</v>
          </cell>
          <cell r="L28">
            <v>105</v>
          </cell>
          <cell r="M28">
            <v>105</v>
          </cell>
          <cell r="N28">
            <v>353</v>
          </cell>
          <cell r="O28">
            <v>105</v>
          </cell>
        </row>
        <row r="29">
          <cell r="I29">
            <v>2014</v>
          </cell>
          <cell r="J29">
            <v>327</v>
          </cell>
          <cell r="K29">
            <v>327</v>
          </cell>
          <cell r="L29">
            <v>327</v>
          </cell>
          <cell r="M29">
            <v>327</v>
          </cell>
          <cell r="N29">
            <v>573</v>
          </cell>
          <cell r="O29">
            <v>327</v>
          </cell>
        </row>
        <row r="30">
          <cell r="I30">
            <v>2015</v>
          </cell>
          <cell r="J30">
            <v>982</v>
          </cell>
          <cell r="K30">
            <v>722</v>
          </cell>
          <cell r="L30">
            <v>722</v>
          </cell>
          <cell r="M30">
            <v>722</v>
          </cell>
          <cell r="N30">
            <v>874</v>
          </cell>
          <cell r="O30">
            <v>722</v>
          </cell>
        </row>
        <row r="31">
          <cell r="I31">
            <v>2016</v>
          </cell>
          <cell r="J31">
            <v>1954</v>
          </cell>
          <cell r="K31">
            <v>894</v>
          </cell>
          <cell r="L31">
            <v>885</v>
          </cell>
          <cell r="M31">
            <v>885</v>
          </cell>
          <cell r="N31">
            <v>1381</v>
          </cell>
          <cell r="O31">
            <v>885</v>
          </cell>
        </row>
        <row r="32">
          <cell r="I32">
            <v>2017</v>
          </cell>
          <cell r="J32">
            <v>3124</v>
          </cell>
          <cell r="K32">
            <v>1370</v>
          </cell>
          <cell r="L32">
            <v>1203</v>
          </cell>
          <cell r="M32">
            <v>1044</v>
          </cell>
          <cell r="N32">
            <v>1945</v>
          </cell>
          <cell r="O32">
            <v>1044</v>
          </cell>
        </row>
        <row r="33">
          <cell r="I33">
            <v>2018</v>
          </cell>
          <cell r="J33">
            <v>4480</v>
          </cell>
          <cell r="K33">
            <v>1884</v>
          </cell>
          <cell r="L33">
            <v>1698</v>
          </cell>
          <cell r="M33">
            <v>1182</v>
          </cell>
          <cell r="N33">
            <v>2392</v>
          </cell>
          <cell r="O33">
            <v>1182</v>
          </cell>
        </row>
        <row r="34">
          <cell r="I34">
            <v>2019</v>
          </cell>
          <cell r="J34">
            <v>5915</v>
          </cell>
          <cell r="K34">
            <v>2587</v>
          </cell>
          <cell r="L34">
            <v>2441</v>
          </cell>
          <cell r="M34">
            <v>1556</v>
          </cell>
          <cell r="N34">
            <v>2747</v>
          </cell>
          <cell r="O34">
            <v>1537</v>
          </cell>
        </row>
        <row r="35">
          <cell r="I35">
            <v>2020</v>
          </cell>
          <cell r="J35">
            <v>7335</v>
          </cell>
          <cell r="K35">
            <v>3510</v>
          </cell>
          <cell r="L35">
            <v>3404</v>
          </cell>
          <cell r="M35">
            <v>2053</v>
          </cell>
          <cell r="N35">
            <v>3125</v>
          </cell>
          <cell r="O35">
            <v>1915</v>
          </cell>
        </row>
        <row r="36">
          <cell r="I36">
            <v>2021</v>
          </cell>
          <cell r="J36">
            <v>8520</v>
          </cell>
          <cell r="K36">
            <v>4555</v>
          </cell>
          <cell r="L36">
            <v>4474</v>
          </cell>
          <cell r="M36">
            <v>2837</v>
          </cell>
          <cell r="N36">
            <v>3548</v>
          </cell>
          <cell r="O36">
            <v>2338</v>
          </cell>
        </row>
        <row r="37">
          <cell r="I37">
            <v>2022</v>
          </cell>
          <cell r="J37">
            <v>9470</v>
          </cell>
          <cell r="K37">
            <v>5690</v>
          </cell>
          <cell r="L37">
            <v>5659</v>
          </cell>
          <cell r="M37">
            <v>3893</v>
          </cell>
          <cell r="N37">
            <v>3989</v>
          </cell>
          <cell r="O37">
            <v>2779</v>
          </cell>
        </row>
        <row r="38">
          <cell r="I38">
            <v>2023</v>
          </cell>
          <cell r="J38">
            <v>10230</v>
          </cell>
          <cell r="K38">
            <v>6725</v>
          </cell>
          <cell r="L38">
            <v>6744</v>
          </cell>
          <cell r="M38">
            <v>5021</v>
          </cell>
          <cell r="N38">
            <v>4437</v>
          </cell>
          <cell r="O38">
            <v>3227</v>
          </cell>
        </row>
        <row r="39">
          <cell r="I39">
            <v>2024</v>
          </cell>
          <cell r="J39">
            <v>10603</v>
          </cell>
          <cell r="K39">
            <v>7675</v>
          </cell>
          <cell r="L39">
            <v>7744</v>
          </cell>
          <cell r="M39">
            <v>6136</v>
          </cell>
          <cell r="N39">
            <v>4895</v>
          </cell>
          <cell r="O39">
            <v>3685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D1" zoomScale="70" zoomScaleNormal="70" workbookViewId="0">
      <selection activeCell="L33" sqref="L33:W33"/>
    </sheetView>
  </sheetViews>
  <sheetFormatPr defaultRowHeight="15.75" x14ac:dyDescent="0.25"/>
  <cols>
    <col min="1" max="2" width="17.85546875" customWidth="1"/>
    <col min="3" max="3" width="11.140625" customWidth="1"/>
    <col min="4" max="4" width="11.7109375" customWidth="1"/>
    <col min="5" max="5" width="10.85546875" customWidth="1"/>
    <col min="6" max="6" width="12.42578125" customWidth="1"/>
    <col min="7" max="7" width="11.5703125" customWidth="1"/>
    <col min="8" max="10" width="11.28515625" customWidth="1"/>
    <col min="12" max="12" width="23.85546875" customWidth="1"/>
    <col min="13" max="17" width="10.85546875" customWidth="1"/>
    <col min="18" max="18" width="10.7109375" customWidth="1"/>
    <col min="19" max="20" width="12.140625" bestFit="1" customWidth="1"/>
    <col min="21" max="21" width="13" customWidth="1"/>
    <col min="22" max="22" width="13.85546875" customWidth="1"/>
    <col min="23" max="23" width="15.42578125" customWidth="1"/>
    <col min="30" max="30" width="5.85546875" style="384" bestFit="1" customWidth="1"/>
    <col min="31" max="34" width="17.7109375" style="384" bestFit="1" customWidth="1"/>
    <col min="35" max="35" width="19.5703125" style="384" bestFit="1" customWidth="1"/>
    <col min="36" max="36" width="13.42578125" style="384" bestFit="1" customWidth="1"/>
  </cols>
  <sheetData>
    <row r="1" spans="1:36" ht="21.75" thickBot="1" x14ac:dyDescent="0.3">
      <c r="A1" s="425" t="s">
        <v>101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7"/>
      <c r="T1" s="343"/>
    </row>
    <row r="2" spans="1:36" ht="21.75" thickBot="1" x14ac:dyDescent="0.4">
      <c r="A2" s="69"/>
      <c r="B2" s="68"/>
      <c r="C2" s="419" t="s">
        <v>102</v>
      </c>
      <c r="D2" s="420"/>
      <c r="E2" s="420"/>
      <c r="F2" s="421"/>
      <c r="G2" s="422" t="s">
        <v>91</v>
      </c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343" t="s">
        <v>145</v>
      </c>
    </row>
    <row r="3" spans="1:36" ht="16.5" thickBot="1" x14ac:dyDescent="0.3">
      <c r="A3" s="69"/>
      <c r="B3" s="68"/>
      <c r="C3" s="344" t="s">
        <v>146</v>
      </c>
      <c r="D3" s="306" t="s">
        <v>147</v>
      </c>
      <c r="E3" s="306" t="s">
        <v>148</v>
      </c>
      <c r="F3" s="327"/>
      <c r="G3" s="345" t="s">
        <v>148</v>
      </c>
      <c r="H3" s="346" t="s">
        <v>149</v>
      </c>
      <c r="I3" s="379" t="s">
        <v>150</v>
      </c>
      <c r="J3" s="329" t="s">
        <v>151</v>
      </c>
      <c r="K3" s="347"/>
      <c r="L3" s="348" t="s">
        <v>151</v>
      </c>
      <c r="M3" s="345" t="s">
        <v>152</v>
      </c>
      <c r="N3" s="348" t="s">
        <v>153</v>
      </c>
      <c r="O3" s="345" t="s">
        <v>154</v>
      </c>
      <c r="P3" s="348" t="s">
        <v>155</v>
      </c>
      <c r="Q3" s="345" t="s">
        <v>156</v>
      </c>
      <c r="R3" s="328" t="s">
        <v>157</v>
      </c>
      <c r="S3" s="428" t="s">
        <v>42</v>
      </c>
      <c r="T3" s="380"/>
      <c r="AD3" s="384" t="s">
        <v>179</v>
      </c>
      <c r="AE3" s="384" t="s">
        <v>180</v>
      </c>
      <c r="AF3" s="384" t="s">
        <v>181</v>
      </c>
      <c r="AG3" s="384" t="s">
        <v>182</v>
      </c>
      <c r="AH3" s="384" t="s">
        <v>183</v>
      </c>
      <c r="AI3" s="384" t="s">
        <v>184</v>
      </c>
      <c r="AJ3" s="384" t="s">
        <v>185</v>
      </c>
    </row>
    <row r="4" spans="1:36" x14ac:dyDescent="0.25">
      <c r="A4" s="349" t="s">
        <v>113</v>
      </c>
      <c r="B4" s="349" t="s">
        <v>114</v>
      </c>
      <c r="C4" s="350" t="s">
        <v>115</v>
      </c>
      <c r="D4" s="350" t="s">
        <v>115</v>
      </c>
      <c r="E4" s="351" t="s">
        <v>115</v>
      </c>
      <c r="F4" s="352" t="s">
        <v>42</v>
      </c>
      <c r="G4" s="353" t="s">
        <v>115</v>
      </c>
      <c r="H4" s="351" t="s">
        <v>115</v>
      </c>
      <c r="I4" s="354" t="s">
        <v>115</v>
      </c>
      <c r="J4" s="349" t="s">
        <v>115</v>
      </c>
      <c r="K4" s="330" t="s">
        <v>42</v>
      </c>
      <c r="L4" s="355" t="s">
        <v>160</v>
      </c>
      <c r="M4" s="349" t="s">
        <v>116</v>
      </c>
      <c r="N4" s="355" t="s">
        <v>116</v>
      </c>
      <c r="O4" s="349" t="s">
        <v>116</v>
      </c>
      <c r="P4" s="355" t="s">
        <v>116</v>
      </c>
      <c r="Q4" s="349" t="s">
        <v>116</v>
      </c>
      <c r="R4" s="354" t="s">
        <v>116</v>
      </c>
      <c r="S4" s="429"/>
      <c r="T4" s="380"/>
      <c r="AD4" s="393">
        <v>2013</v>
      </c>
      <c r="AE4" s="394">
        <v>105</v>
      </c>
      <c r="AF4" s="394">
        <v>105</v>
      </c>
      <c r="AG4" s="395">
        <v>105</v>
      </c>
      <c r="AH4" s="395">
        <v>105</v>
      </c>
      <c r="AI4" s="396">
        <v>353</v>
      </c>
      <c r="AJ4" s="397">
        <v>105</v>
      </c>
    </row>
    <row r="5" spans="1:36" ht="30" x14ac:dyDescent="0.25">
      <c r="A5" s="356" t="s">
        <v>117</v>
      </c>
      <c r="B5" s="357" t="s">
        <v>118</v>
      </c>
      <c r="C5" s="358"/>
      <c r="D5" s="358">
        <v>25</v>
      </c>
      <c r="E5" s="359"/>
      <c r="F5" s="360">
        <f>SUM(C5:E5)</f>
        <v>25</v>
      </c>
      <c r="G5" s="317"/>
      <c r="H5" s="361"/>
      <c r="I5" s="362">
        <v>0</v>
      </c>
      <c r="J5" s="336"/>
      <c r="K5" s="337">
        <f>SUM(G5:J5)</f>
        <v>0</v>
      </c>
      <c r="L5" s="376">
        <v>0</v>
      </c>
      <c r="M5" s="377">
        <v>44</v>
      </c>
      <c r="N5" s="377">
        <v>67</v>
      </c>
      <c r="O5" s="377">
        <v>49</v>
      </c>
      <c r="P5" s="377">
        <v>66</v>
      </c>
      <c r="Q5" s="377">
        <v>98</v>
      </c>
      <c r="R5" s="378">
        <v>105</v>
      </c>
      <c r="S5" s="363">
        <f t="shared" ref="S5:S16" si="0">SUM(L5:R5)</f>
        <v>429</v>
      </c>
      <c r="T5" s="381">
        <f>F5+K5+S5</f>
        <v>454</v>
      </c>
      <c r="U5" s="283" t="s">
        <v>177</v>
      </c>
      <c r="AD5" s="398">
        <v>2014</v>
      </c>
      <c r="AE5" s="399">
        <v>327</v>
      </c>
      <c r="AF5" s="399">
        <v>327</v>
      </c>
      <c r="AG5" s="400">
        <v>327</v>
      </c>
      <c r="AH5" s="400">
        <v>327</v>
      </c>
      <c r="AI5" s="401">
        <v>573</v>
      </c>
      <c r="AJ5" s="402">
        <v>327</v>
      </c>
    </row>
    <row r="6" spans="1:36" x14ac:dyDescent="0.25">
      <c r="A6" s="356" t="s">
        <v>119</v>
      </c>
      <c r="B6" s="357" t="s">
        <v>120</v>
      </c>
      <c r="C6" s="358"/>
      <c r="D6" s="358"/>
      <c r="E6" s="359"/>
      <c r="F6" s="360">
        <f t="shared" ref="F6:F17" si="1">SUM(C6:E6)</f>
        <v>0</v>
      </c>
      <c r="G6" s="317"/>
      <c r="H6" s="361"/>
      <c r="I6" s="362">
        <v>0</v>
      </c>
      <c r="J6" s="336"/>
      <c r="K6" s="337">
        <f t="shared" ref="K6:K16" si="2">SUM(G6:J6)</f>
        <v>0</v>
      </c>
      <c r="L6" s="376">
        <v>0</v>
      </c>
      <c r="M6" s="377">
        <v>0</v>
      </c>
      <c r="N6" s="377">
        <v>0</v>
      </c>
      <c r="O6" s="377">
        <v>100</v>
      </c>
      <c r="P6" s="377">
        <v>100</v>
      </c>
      <c r="Q6" s="377">
        <v>100</v>
      </c>
      <c r="R6" s="378">
        <v>100</v>
      </c>
      <c r="S6" s="363">
        <f t="shared" si="0"/>
        <v>400</v>
      </c>
      <c r="T6" s="381">
        <f t="shared" ref="T6:T17" si="3">F6+K6+S6</f>
        <v>400</v>
      </c>
      <c r="U6" s="283" t="s">
        <v>177</v>
      </c>
      <c r="AD6" s="398">
        <v>2015</v>
      </c>
      <c r="AE6" s="401">
        <v>982</v>
      </c>
      <c r="AF6" s="399">
        <v>722</v>
      </c>
      <c r="AG6" s="400">
        <v>722</v>
      </c>
      <c r="AH6" s="400">
        <v>722</v>
      </c>
      <c r="AI6" s="401">
        <v>874</v>
      </c>
      <c r="AJ6" s="402">
        <v>722</v>
      </c>
    </row>
    <row r="7" spans="1:36" x14ac:dyDescent="0.25">
      <c r="A7" s="356" t="s">
        <v>121</v>
      </c>
      <c r="B7" s="357" t="s">
        <v>122</v>
      </c>
      <c r="C7" s="358">
        <v>102</v>
      </c>
      <c r="D7" s="358">
        <v>144</v>
      </c>
      <c r="E7" s="359">
        <v>84</v>
      </c>
      <c r="F7" s="360">
        <f t="shared" si="1"/>
        <v>330</v>
      </c>
      <c r="G7" s="317">
        <v>63</v>
      </c>
      <c r="H7" s="361">
        <v>29</v>
      </c>
      <c r="I7" s="362">
        <v>18</v>
      </c>
      <c r="J7" s="336"/>
      <c r="K7" s="337">
        <f t="shared" si="2"/>
        <v>110</v>
      </c>
      <c r="L7" s="376">
        <v>0</v>
      </c>
      <c r="M7" s="377">
        <v>50</v>
      </c>
      <c r="N7" s="377">
        <v>50</v>
      </c>
      <c r="O7" s="377">
        <v>75</v>
      </c>
      <c r="P7" s="377">
        <v>100</v>
      </c>
      <c r="Q7" s="377">
        <v>100</v>
      </c>
      <c r="R7" s="378">
        <v>100</v>
      </c>
      <c r="S7" s="363">
        <f t="shared" si="0"/>
        <v>475</v>
      </c>
      <c r="T7" s="381">
        <f t="shared" si="3"/>
        <v>915</v>
      </c>
      <c r="U7" s="283" t="s">
        <v>177</v>
      </c>
      <c r="AD7" s="398">
        <v>2016</v>
      </c>
      <c r="AE7" s="401">
        <v>1954</v>
      </c>
      <c r="AF7" s="401">
        <v>894</v>
      </c>
      <c r="AG7" s="400">
        <v>885</v>
      </c>
      <c r="AH7" s="400">
        <v>885</v>
      </c>
      <c r="AI7" s="401">
        <v>1381</v>
      </c>
      <c r="AJ7" s="402">
        <v>885</v>
      </c>
    </row>
    <row r="8" spans="1:36" x14ac:dyDescent="0.25">
      <c r="A8" s="356" t="s">
        <v>123</v>
      </c>
      <c r="B8" s="357" t="s">
        <v>124</v>
      </c>
      <c r="C8" s="358"/>
      <c r="D8" s="358"/>
      <c r="E8" s="359">
        <v>15</v>
      </c>
      <c r="F8" s="360">
        <f t="shared" si="1"/>
        <v>15</v>
      </c>
      <c r="G8" s="317"/>
      <c r="H8" s="361">
        <f>56-I8</f>
        <v>47</v>
      </c>
      <c r="I8" s="362">
        <v>9</v>
      </c>
      <c r="J8" s="336">
        <v>34</v>
      </c>
      <c r="K8" s="337">
        <f t="shared" si="2"/>
        <v>90</v>
      </c>
      <c r="L8" s="376">
        <v>0</v>
      </c>
      <c r="M8" s="377">
        <v>45</v>
      </c>
      <c r="N8" s="377">
        <v>60</v>
      </c>
      <c r="O8" s="377">
        <v>75</v>
      </c>
      <c r="P8" s="377">
        <v>100</v>
      </c>
      <c r="Q8" s="377">
        <v>100</v>
      </c>
      <c r="R8" s="378">
        <v>30</v>
      </c>
      <c r="S8" s="363">
        <f t="shared" si="0"/>
        <v>410</v>
      </c>
      <c r="T8" s="381">
        <f t="shared" si="3"/>
        <v>515</v>
      </c>
      <c r="U8" t="s">
        <v>159</v>
      </c>
      <c r="AD8" s="398">
        <v>2017</v>
      </c>
      <c r="AE8" s="401">
        <v>3124</v>
      </c>
      <c r="AF8" s="401">
        <v>1370</v>
      </c>
      <c r="AG8" s="403">
        <v>1203</v>
      </c>
      <c r="AH8" s="400">
        <v>1044</v>
      </c>
      <c r="AI8" s="401">
        <v>1945</v>
      </c>
      <c r="AJ8" s="402">
        <v>1044</v>
      </c>
    </row>
    <row r="9" spans="1:36" x14ac:dyDescent="0.25">
      <c r="A9" s="356" t="s">
        <v>125</v>
      </c>
      <c r="B9" s="357" t="s">
        <v>126</v>
      </c>
      <c r="C9" s="358"/>
      <c r="D9" s="358"/>
      <c r="E9" s="359"/>
      <c r="F9" s="360">
        <f t="shared" si="1"/>
        <v>0</v>
      </c>
      <c r="G9" s="317"/>
      <c r="H9" s="361"/>
      <c r="I9" s="362">
        <v>0</v>
      </c>
      <c r="J9" s="336"/>
      <c r="K9" s="337">
        <f t="shared" si="2"/>
        <v>0</v>
      </c>
      <c r="L9" s="376">
        <v>0</v>
      </c>
      <c r="M9" s="377">
        <v>0</v>
      </c>
      <c r="N9" s="377">
        <v>0</v>
      </c>
      <c r="O9" s="377">
        <v>0</v>
      </c>
      <c r="P9" s="377">
        <v>50</v>
      </c>
      <c r="Q9" s="377">
        <v>75</v>
      </c>
      <c r="R9" s="378">
        <v>100</v>
      </c>
      <c r="S9" s="363">
        <f t="shared" si="0"/>
        <v>225</v>
      </c>
      <c r="T9" s="381">
        <f t="shared" si="3"/>
        <v>225</v>
      </c>
      <c r="U9" s="283" t="s">
        <v>177</v>
      </c>
      <c r="AD9" s="404">
        <v>2018</v>
      </c>
      <c r="AE9" s="405">
        <v>4480</v>
      </c>
      <c r="AF9" s="405">
        <v>1884</v>
      </c>
      <c r="AG9" s="406">
        <v>1698</v>
      </c>
      <c r="AH9" s="406">
        <f>138+AH8</f>
        <v>1182</v>
      </c>
      <c r="AI9" s="405">
        <v>2392</v>
      </c>
      <c r="AJ9" s="407">
        <v>1182</v>
      </c>
    </row>
    <row r="10" spans="1:36" x14ac:dyDescent="0.25">
      <c r="A10" s="356" t="s">
        <v>127</v>
      </c>
      <c r="B10" s="357" t="s">
        <v>128</v>
      </c>
      <c r="C10" s="358">
        <v>3</v>
      </c>
      <c r="D10" s="358">
        <v>52</v>
      </c>
      <c r="E10" s="359">
        <v>114</v>
      </c>
      <c r="F10" s="360">
        <f t="shared" si="1"/>
        <v>169</v>
      </c>
      <c r="G10" s="317"/>
      <c r="H10" s="361">
        <v>87</v>
      </c>
      <c r="I10" s="362">
        <v>0</v>
      </c>
      <c r="J10" s="336">
        <v>52</v>
      </c>
      <c r="K10" s="337">
        <f t="shared" si="2"/>
        <v>139</v>
      </c>
      <c r="L10" s="376">
        <f>60-J10</f>
        <v>8</v>
      </c>
      <c r="M10" s="377">
        <v>75</v>
      </c>
      <c r="N10" s="377">
        <v>75</v>
      </c>
      <c r="O10" s="377">
        <v>80</v>
      </c>
      <c r="P10" s="377">
        <v>80</v>
      </c>
      <c r="Q10" s="377">
        <v>80</v>
      </c>
      <c r="R10" s="378">
        <v>80</v>
      </c>
      <c r="S10" s="363">
        <f t="shared" si="0"/>
        <v>478</v>
      </c>
      <c r="T10" s="381">
        <f t="shared" si="3"/>
        <v>786</v>
      </c>
      <c r="U10" t="s">
        <v>159</v>
      </c>
      <c r="AD10" s="404">
        <v>2019</v>
      </c>
      <c r="AE10" s="405">
        <v>5915</v>
      </c>
      <c r="AF10" s="405">
        <v>2587</v>
      </c>
      <c r="AG10" s="408">
        <v>2441</v>
      </c>
      <c r="AH10" s="406">
        <f>374+AH9</f>
        <v>1556</v>
      </c>
      <c r="AI10" s="405">
        <v>2747</v>
      </c>
      <c r="AJ10" s="407">
        <f t="shared" ref="AJ10:AJ15" si="4">AI10-AI9+AJ9</f>
        <v>1537</v>
      </c>
    </row>
    <row r="11" spans="1:36" ht="30" x14ac:dyDescent="0.25">
      <c r="A11" s="356" t="s">
        <v>129</v>
      </c>
      <c r="B11" s="357" t="s">
        <v>130</v>
      </c>
      <c r="C11" s="358"/>
      <c r="D11" s="358"/>
      <c r="E11" s="359"/>
      <c r="F11" s="360">
        <f t="shared" si="1"/>
        <v>0</v>
      </c>
      <c r="G11" s="317">
        <v>4</v>
      </c>
      <c r="H11" s="361"/>
      <c r="I11" s="362">
        <v>0</v>
      </c>
      <c r="J11" s="336"/>
      <c r="K11" s="337">
        <f t="shared" si="2"/>
        <v>4</v>
      </c>
      <c r="L11" s="385">
        <v>0</v>
      </c>
      <c r="M11" s="386">
        <v>0</v>
      </c>
      <c r="N11" s="386">
        <v>50</v>
      </c>
      <c r="O11" s="386">
        <v>50</v>
      </c>
      <c r="P11" s="386">
        <v>100</v>
      </c>
      <c r="Q11" s="386">
        <v>100</v>
      </c>
      <c r="R11" s="387">
        <v>100</v>
      </c>
      <c r="S11" s="363">
        <f t="shared" si="0"/>
        <v>400</v>
      </c>
      <c r="T11" s="381">
        <f t="shared" si="3"/>
        <v>404</v>
      </c>
      <c r="U11" s="283" t="s">
        <v>178</v>
      </c>
      <c r="AD11" s="404">
        <v>2020</v>
      </c>
      <c r="AE11" s="405">
        <v>7335</v>
      </c>
      <c r="AF11" s="405">
        <v>3510</v>
      </c>
      <c r="AG11" s="408">
        <v>3404</v>
      </c>
      <c r="AH11" s="408">
        <f>497+AH10</f>
        <v>2053</v>
      </c>
      <c r="AI11" s="405">
        <v>3125</v>
      </c>
      <c r="AJ11" s="407">
        <f t="shared" si="4"/>
        <v>1915</v>
      </c>
    </row>
    <row r="12" spans="1:36" x14ac:dyDescent="0.25">
      <c r="A12" s="356" t="s">
        <v>131</v>
      </c>
      <c r="B12" s="357" t="s">
        <v>132</v>
      </c>
      <c r="C12" s="358"/>
      <c r="D12" s="358"/>
      <c r="E12" s="359"/>
      <c r="F12" s="360">
        <f t="shared" si="1"/>
        <v>0</v>
      </c>
      <c r="G12" s="317"/>
      <c r="H12" s="361"/>
      <c r="I12" s="362">
        <v>0</v>
      </c>
      <c r="J12" s="336"/>
      <c r="K12" s="337">
        <f t="shared" si="2"/>
        <v>0</v>
      </c>
      <c r="L12" s="376">
        <v>0</v>
      </c>
      <c r="M12" s="377">
        <v>50</v>
      </c>
      <c r="N12" s="377">
        <v>75</v>
      </c>
      <c r="O12" s="377">
        <v>115</v>
      </c>
      <c r="P12" s="377">
        <v>130</v>
      </c>
      <c r="Q12" s="377">
        <v>130</v>
      </c>
      <c r="R12" s="378">
        <v>130</v>
      </c>
      <c r="S12" s="363">
        <f t="shared" si="0"/>
        <v>630</v>
      </c>
      <c r="T12" s="381">
        <f t="shared" si="3"/>
        <v>630</v>
      </c>
      <c r="U12" t="s">
        <v>159</v>
      </c>
      <c r="AD12" s="404">
        <v>2021</v>
      </c>
      <c r="AE12" s="405">
        <v>8520</v>
      </c>
      <c r="AF12" s="405">
        <v>4555</v>
      </c>
      <c r="AG12" s="408">
        <v>4474</v>
      </c>
      <c r="AH12" s="408">
        <f>784+AH11</f>
        <v>2837</v>
      </c>
      <c r="AI12" s="405">
        <v>3548</v>
      </c>
      <c r="AJ12" s="407">
        <f t="shared" si="4"/>
        <v>2338</v>
      </c>
    </row>
    <row r="13" spans="1:36" x14ac:dyDescent="0.25">
      <c r="A13" s="356" t="s">
        <v>133</v>
      </c>
      <c r="B13" s="357" t="s">
        <v>134</v>
      </c>
      <c r="C13" s="358"/>
      <c r="D13" s="358"/>
      <c r="E13" s="359"/>
      <c r="F13" s="360">
        <f t="shared" si="1"/>
        <v>0</v>
      </c>
      <c r="G13" s="317"/>
      <c r="H13" s="361"/>
      <c r="I13" s="362">
        <v>0</v>
      </c>
      <c r="J13" s="336">
        <v>44</v>
      </c>
      <c r="K13" s="337">
        <f t="shared" si="2"/>
        <v>44</v>
      </c>
      <c r="L13" s="385">
        <v>0</v>
      </c>
      <c r="M13" s="386">
        <v>30</v>
      </c>
      <c r="N13" s="386">
        <v>0</v>
      </c>
      <c r="O13" s="386">
        <v>0</v>
      </c>
      <c r="P13" s="386">
        <v>0</v>
      </c>
      <c r="Q13" s="386">
        <v>0</v>
      </c>
      <c r="R13" s="387">
        <v>0</v>
      </c>
      <c r="S13" s="363">
        <f t="shared" si="0"/>
        <v>30</v>
      </c>
      <c r="T13" s="381">
        <f t="shared" si="3"/>
        <v>74</v>
      </c>
      <c r="U13" s="283" t="s">
        <v>178</v>
      </c>
      <c r="AD13" s="404">
        <v>2022</v>
      </c>
      <c r="AE13" s="405">
        <v>9470</v>
      </c>
      <c r="AF13" s="405">
        <v>5690</v>
      </c>
      <c r="AG13" s="408">
        <v>5659</v>
      </c>
      <c r="AH13" s="408">
        <f>1056+AH12</f>
        <v>3893</v>
      </c>
      <c r="AI13" s="405">
        <v>3989</v>
      </c>
      <c r="AJ13" s="407">
        <f t="shared" si="4"/>
        <v>2779</v>
      </c>
    </row>
    <row r="14" spans="1:36" x14ac:dyDescent="0.25">
      <c r="A14" s="356" t="s">
        <v>135</v>
      </c>
      <c r="B14" s="357" t="s">
        <v>128</v>
      </c>
      <c r="C14" s="358"/>
      <c r="D14" s="358"/>
      <c r="E14" s="359"/>
      <c r="F14" s="360">
        <f t="shared" si="1"/>
        <v>0</v>
      </c>
      <c r="G14" s="317">
        <v>114</v>
      </c>
      <c r="H14" s="361"/>
      <c r="I14" s="362">
        <v>132</v>
      </c>
      <c r="J14" s="336"/>
      <c r="K14" s="337">
        <f t="shared" si="2"/>
        <v>246</v>
      </c>
      <c r="L14" s="376">
        <v>0</v>
      </c>
      <c r="M14" s="377">
        <v>80</v>
      </c>
      <c r="N14" s="377">
        <v>120</v>
      </c>
      <c r="O14" s="377">
        <v>140</v>
      </c>
      <c r="P14" s="377">
        <v>150</v>
      </c>
      <c r="Q14" s="377">
        <v>175</v>
      </c>
      <c r="R14" s="378">
        <v>200</v>
      </c>
      <c r="S14" s="363">
        <f t="shared" si="0"/>
        <v>865</v>
      </c>
      <c r="T14" s="381">
        <f t="shared" si="3"/>
        <v>1111</v>
      </c>
      <c r="U14" t="s">
        <v>159</v>
      </c>
      <c r="AD14" s="404">
        <v>2023</v>
      </c>
      <c r="AE14" s="405">
        <v>10230</v>
      </c>
      <c r="AF14" s="405">
        <v>6725</v>
      </c>
      <c r="AG14" s="408">
        <v>6744</v>
      </c>
      <c r="AH14" s="408">
        <f>1128+AH13</f>
        <v>5021</v>
      </c>
      <c r="AI14" s="405">
        <v>4437</v>
      </c>
      <c r="AJ14" s="407">
        <f t="shared" si="4"/>
        <v>3227</v>
      </c>
    </row>
    <row r="15" spans="1:36" ht="16.5" thickBot="1" x14ac:dyDescent="0.3">
      <c r="A15" s="364" t="s">
        <v>136</v>
      </c>
      <c r="B15" s="357" t="s">
        <v>137</v>
      </c>
      <c r="C15" s="358"/>
      <c r="D15" s="358"/>
      <c r="E15" s="359"/>
      <c r="F15" s="360">
        <f t="shared" si="1"/>
        <v>0</v>
      </c>
      <c r="G15" s="317"/>
      <c r="H15" s="361"/>
      <c r="I15" s="362">
        <v>0</v>
      </c>
      <c r="J15" s="336"/>
      <c r="K15" s="337">
        <f t="shared" si="2"/>
        <v>0</v>
      </c>
      <c r="L15" s="385">
        <v>0</v>
      </c>
      <c r="M15" s="386">
        <v>0</v>
      </c>
      <c r="N15" s="386">
        <v>0</v>
      </c>
      <c r="O15" s="386">
        <v>100</v>
      </c>
      <c r="P15" s="386">
        <v>120</v>
      </c>
      <c r="Q15" s="386">
        <v>120</v>
      </c>
      <c r="R15" s="387">
        <v>120</v>
      </c>
      <c r="S15" s="363">
        <f t="shared" si="0"/>
        <v>460</v>
      </c>
      <c r="T15" s="381">
        <f t="shared" si="3"/>
        <v>460</v>
      </c>
      <c r="U15" s="283" t="s">
        <v>178</v>
      </c>
      <c r="AD15" s="409">
        <v>2024</v>
      </c>
      <c r="AE15" s="410">
        <v>10603</v>
      </c>
      <c r="AF15" s="410">
        <v>7675</v>
      </c>
      <c r="AG15" s="411">
        <v>7744</v>
      </c>
      <c r="AH15" s="411">
        <f>1115+AH14</f>
        <v>6136</v>
      </c>
      <c r="AI15" s="410">
        <v>4895</v>
      </c>
      <c r="AJ15" s="412">
        <f t="shared" si="4"/>
        <v>3685</v>
      </c>
    </row>
    <row r="16" spans="1:36" ht="30.75" thickBot="1" x14ac:dyDescent="0.3">
      <c r="A16" s="364" t="s">
        <v>138</v>
      </c>
      <c r="B16" s="357" t="s">
        <v>139</v>
      </c>
      <c r="C16" s="358"/>
      <c r="D16" s="358"/>
      <c r="E16" s="359"/>
      <c r="F16" s="360">
        <f t="shared" si="1"/>
        <v>0</v>
      </c>
      <c r="G16" s="317"/>
      <c r="H16" s="361"/>
      <c r="I16" s="362">
        <v>0</v>
      </c>
      <c r="J16" s="336"/>
      <c r="K16" s="337">
        <f t="shared" si="2"/>
        <v>0</v>
      </c>
      <c r="L16" s="376">
        <v>0</v>
      </c>
      <c r="M16" s="377">
        <v>0</v>
      </c>
      <c r="N16" s="377">
        <v>0</v>
      </c>
      <c r="O16" s="377">
        <v>0</v>
      </c>
      <c r="P16" s="377">
        <v>60</v>
      </c>
      <c r="Q16" s="377">
        <v>50</v>
      </c>
      <c r="R16" s="378">
        <v>50</v>
      </c>
      <c r="S16" s="363">
        <f t="shared" si="0"/>
        <v>160</v>
      </c>
      <c r="T16" s="381">
        <f t="shared" si="3"/>
        <v>160</v>
      </c>
      <c r="U16" t="s">
        <v>159</v>
      </c>
    </row>
    <row r="17" spans="1:36" ht="16.5" thickBot="1" x14ac:dyDescent="0.3">
      <c r="A17" s="320" t="s">
        <v>140</v>
      </c>
      <c r="B17" s="365"/>
      <c r="C17" s="366"/>
      <c r="D17" s="366">
        <v>1</v>
      </c>
      <c r="E17" s="367">
        <v>1</v>
      </c>
      <c r="F17" s="368">
        <f t="shared" si="1"/>
        <v>2</v>
      </c>
      <c r="G17" s="321"/>
      <c r="H17" s="365"/>
      <c r="I17" s="369"/>
      <c r="J17" s="319"/>
      <c r="K17" s="339"/>
      <c r="L17" s="321"/>
      <c r="M17" s="365"/>
      <c r="N17" s="365"/>
      <c r="O17" s="365"/>
      <c r="P17" s="365"/>
      <c r="Q17" s="365"/>
      <c r="R17" s="369"/>
      <c r="S17" s="370"/>
      <c r="T17" s="381">
        <f t="shared" si="3"/>
        <v>2</v>
      </c>
      <c r="AD17" s="413"/>
      <c r="AE17" s="414" t="s">
        <v>186</v>
      </c>
      <c r="AF17" s="414"/>
      <c r="AG17" s="414"/>
      <c r="AH17" s="414"/>
      <c r="AI17" s="414"/>
      <c r="AJ17" s="414"/>
    </row>
    <row r="18" spans="1:36" ht="16.5" thickBot="1" x14ac:dyDescent="0.3">
      <c r="A18" s="322" t="s">
        <v>42</v>
      </c>
      <c r="B18" s="323"/>
      <c r="C18" s="324">
        <f>SUM(C5:C17)</f>
        <v>105</v>
      </c>
      <c r="D18" s="325">
        <f>SUM(D5:D17)</f>
        <v>222</v>
      </c>
      <c r="E18" s="324">
        <f>SUM(E5:E17)</f>
        <v>214</v>
      </c>
      <c r="F18" s="341">
        <f>SUM(F5:F17)</f>
        <v>541</v>
      </c>
      <c r="G18" s="326">
        <f>SUM(G5:G16)</f>
        <v>181</v>
      </c>
      <c r="H18" s="324">
        <f>SUM(H5:H16)</f>
        <v>163</v>
      </c>
      <c r="I18" s="324">
        <f t="shared" ref="I18:R18" si="5">SUM(I5:I17)</f>
        <v>159</v>
      </c>
      <c r="J18" s="324">
        <f t="shared" si="5"/>
        <v>130</v>
      </c>
      <c r="K18" s="341">
        <f>SUM(K5:K17)</f>
        <v>633</v>
      </c>
      <c r="L18" s="342">
        <f t="shared" si="5"/>
        <v>8</v>
      </c>
      <c r="M18" s="325">
        <f t="shared" si="5"/>
        <v>374</v>
      </c>
      <c r="N18" s="342">
        <f t="shared" si="5"/>
        <v>497</v>
      </c>
      <c r="O18" s="325">
        <f t="shared" si="5"/>
        <v>784</v>
      </c>
      <c r="P18" s="342">
        <f t="shared" si="5"/>
        <v>1056</v>
      </c>
      <c r="Q18" s="324">
        <f t="shared" si="5"/>
        <v>1128</v>
      </c>
      <c r="R18" s="324">
        <f t="shared" si="5"/>
        <v>1115</v>
      </c>
      <c r="S18" s="340">
        <f>SUM(S5:S17)</f>
        <v>4962</v>
      </c>
      <c r="T18" s="341">
        <f>SUM(T5:T17)</f>
        <v>6136</v>
      </c>
    </row>
    <row r="19" spans="1:36" ht="16.5" thickBot="1" x14ac:dyDescent="0.3">
      <c r="A19" s="371"/>
      <c r="R19" s="372" t="s">
        <v>158</v>
      </c>
      <c r="S19" s="373"/>
      <c r="T19" s="382">
        <v>3089</v>
      </c>
    </row>
    <row r="20" spans="1:36" ht="16.5" thickBot="1" x14ac:dyDescent="0.3">
      <c r="R20" s="374" t="s">
        <v>145</v>
      </c>
      <c r="S20" s="375"/>
      <c r="T20" s="383">
        <f>SUM(T18:T19)</f>
        <v>9225</v>
      </c>
    </row>
    <row r="25" spans="1:36" x14ac:dyDescent="0.25">
      <c r="A25" t="s">
        <v>170</v>
      </c>
    </row>
    <row r="26" spans="1:36" ht="16.5" thickBot="1" x14ac:dyDescent="0.3">
      <c r="G26">
        <v>1</v>
      </c>
      <c r="H26">
        <v>2</v>
      </c>
      <c r="I26">
        <v>3</v>
      </c>
      <c r="J26">
        <v>4</v>
      </c>
      <c r="K26">
        <v>4</v>
      </c>
      <c r="L26">
        <v>5</v>
      </c>
      <c r="M26">
        <v>6</v>
      </c>
      <c r="N26">
        <v>7</v>
      </c>
      <c r="O26">
        <v>8</v>
      </c>
      <c r="P26">
        <v>9</v>
      </c>
      <c r="Q26">
        <v>10</v>
      </c>
      <c r="R26">
        <v>11</v>
      </c>
      <c r="S26">
        <v>12</v>
      </c>
      <c r="T26">
        <v>13</v>
      </c>
      <c r="U26">
        <v>14</v>
      </c>
      <c r="V26">
        <v>15</v>
      </c>
      <c r="W26">
        <v>16</v>
      </c>
    </row>
    <row r="27" spans="1:36" ht="21.75" thickBot="1" x14ac:dyDescent="0.3">
      <c r="A27" s="416" t="s">
        <v>141</v>
      </c>
      <c r="B27" s="417"/>
      <c r="C27" s="417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8"/>
    </row>
    <row r="28" spans="1:36" ht="21.75" thickBot="1" x14ac:dyDescent="0.4">
      <c r="C28" s="419" t="s">
        <v>102</v>
      </c>
      <c r="D28" s="420"/>
      <c r="E28" s="420"/>
      <c r="F28" s="421"/>
      <c r="G28" s="422" t="s">
        <v>91</v>
      </c>
      <c r="H28" s="423"/>
      <c r="I28" s="423"/>
      <c r="J28" s="423"/>
      <c r="K28" s="423"/>
      <c r="L28" s="423"/>
      <c r="M28" s="423"/>
      <c r="N28" s="423"/>
      <c r="O28" s="423"/>
      <c r="P28" s="423"/>
      <c r="Q28" s="424"/>
    </row>
    <row r="29" spans="1:36" ht="16.5" thickBot="1" x14ac:dyDescent="0.3">
      <c r="C29" s="306" t="s">
        <v>103</v>
      </c>
      <c r="D29" s="306" t="s">
        <v>104</v>
      </c>
      <c r="E29" s="306" t="s">
        <v>105</v>
      </c>
      <c r="F29" s="306"/>
      <c r="G29" s="306" t="s">
        <v>105</v>
      </c>
      <c r="H29" s="328" t="s">
        <v>106</v>
      </c>
      <c r="I29" s="329" t="s">
        <v>107</v>
      </c>
      <c r="J29" s="331" t="s">
        <v>79</v>
      </c>
      <c r="K29" s="331" t="s">
        <v>79</v>
      </c>
      <c r="L29" s="306" t="s">
        <v>108</v>
      </c>
      <c r="M29" s="331" t="s">
        <v>80</v>
      </c>
      <c r="N29" s="306" t="s">
        <v>109</v>
      </c>
      <c r="O29" s="331" t="s">
        <v>110</v>
      </c>
      <c r="P29" s="306" t="s">
        <v>111</v>
      </c>
      <c r="Q29" s="332" t="s">
        <v>112</v>
      </c>
      <c r="R29" s="332" t="s">
        <v>171</v>
      </c>
      <c r="S29" s="332" t="s">
        <v>172</v>
      </c>
      <c r="T29" s="332" t="s">
        <v>173</v>
      </c>
      <c r="U29" s="332" t="s">
        <v>174</v>
      </c>
      <c r="V29" s="332" t="s">
        <v>175</v>
      </c>
      <c r="W29" s="332" t="s">
        <v>176</v>
      </c>
      <c r="X29" s="306"/>
    </row>
    <row r="30" spans="1:36" x14ac:dyDescent="0.25">
      <c r="A30" s="307"/>
      <c r="B30" s="307"/>
      <c r="C30" s="308" t="s">
        <v>115</v>
      </c>
      <c r="D30" s="308" t="s">
        <v>115</v>
      </c>
      <c r="E30" s="308" t="s">
        <v>115</v>
      </c>
      <c r="F30" s="308" t="s">
        <v>42</v>
      </c>
      <c r="G30" s="308" t="s">
        <v>115</v>
      </c>
      <c r="H30" s="333" t="s">
        <v>115</v>
      </c>
      <c r="I30" s="307" t="s">
        <v>115</v>
      </c>
      <c r="J30" s="334" t="s">
        <v>115</v>
      </c>
      <c r="K30" s="334" t="s">
        <v>116</v>
      </c>
      <c r="L30" s="307" t="s">
        <v>116</v>
      </c>
      <c r="M30" s="334" t="s">
        <v>116</v>
      </c>
      <c r="N30" s="307" t="s">
        <v>116</v>
      </c>
      <c r="O30" s="334" t="s">
        <v>116</v>
      </c>
      <c r="P30" s="307" t="s">
        <v>116</v>
      </c>
      <c r="Q30" s="309" t="s">
        <v>116</v>
      </c>
      <c r="R30" s="309" t="s">
        <v>116</v>
      </c>
      <c r="S30" s="309" t="s">
        <v>116</v>
      </c>
      <c r="T30" s="309" t="s">
        <v>116</v>
      </c>
      <c r="U30" s="309" t="s">
        <v>116</v>
      </c>
      <c r="V30" s="309" t="s">
        <v>116</v>
      </c>
      <c r="W30" s="309" t="s">
        <v>116</v>
      </c>
      <c r="X30" s="307" t="s">
        <v>42</v>
      </c>
    </row>
    <row r="31" spans="1:36" x14ac:dyDescent="0.25">
      <c r="A31" s="310" t="s">
        <v>142</v>
      </c>
      <c r="B31" s="311"/>
      <c r="C31" s="312">
        <v>105</v>
      </c>
      <c r="D31" s="313">
        <v>222</v>
      </c>
      <c r="E31" s="314">
        <v>214</v>
      </c>
      <c r="F31" s="315">
        <f>SUM(C31:E31)</f>
        <v>541</v>
      </c>
      <c r="G31" s="316">
        <v>181</v>
      </c>
      <c r="H31" s="335">
        <v>172</v>
      </c>
      <c r="I31" s="336">
        <v>150</v>
      </c>
      <c r="J31" s="338">
        <f>+J18</f>
        <v>130</v>
      </c>
      <c r="K31" s="338">
        <f t="shared" ref="K31:Q31" si="6">+L18</f>
        <v>8</v>
      </c>
      <c r="L31" s="336">
        <f t="shared" si="6"/>
        <v>374</v>
      </c>
      <c r="M31" s="338">
        <f t="shared" si="6"/>
        <v>497</v>
      </c>
      <c r="N31" s="336">
        <f t="shared" si="6"/>
        <v>784</v>
      </c>
      <c r="O31" s="338">
        <f t="shared" si="6"/>
        <v>1056</v>
      </c>
      <c r="P31" s="336">
        <f t="shared" si="6"/>
        <v>1128</v>
      </c>
      <c r="Q31" s="317">
        <f t="shared" si="6"/>
        <v>1115</v>
      </c>
      <c r="R31" s="317"/>
      <c r="S31" s="317"/>
      <c r="T31" s="317"/>
      <c r="U31" s="317"/>
      <c r="V31" s="317"/>
      <c r="W31" s="317"/>
      <c r="X31" s="318">
        <f>SUM(G31:Q31)+F31</f>
        <v>6136</v>
      </c>
    </row>
    <row r="32" spans="1:36" ht="30" x14ac:dyDescent="0.25">
      <c r="A32" s="310" t="s">
        <v>143</v>
      </c>
      <c r="C32" s="312"/>
      <c r="D32" s="313"/>
      <c r="E32" s="314"/>
      <c r="F32" s="315"/>
      <c r="G32" s="316">
        <v>304</v>
      </c>
      <c r="H32" s="335">
        <v>507</v>
      </c>
      <c r="I32" s="336">
        <v>564</v>
      </c>
      <c r="J32" s="338">
        <f>+J18</f>
        <v>130</v>
      </c>
      <c r="K32" s="338">
        <f>447-J32</f>
        <v>317</v>
      </c>
      <c r="L32" s="336">
        <v>355</v>
      </c>
      <c r="M32" s="338">
        <v>378</v>
      </c>
      <c r="N32" s="336">
        <v>423</v>
      </c>
      <c r="O32" s="338">
        <v>441</v>
      </c>
      <c r="P32" s="336">
        <v>448</v>
      </c>
      <c r="Q32" s="317">
        <v>455</v>
      </c>
      <c r="R32" s="317"/>
      <c r="S32" s="317"/>
      <c r="T32" s="317"/>
      <c r="U32" s="317"/>
      <c r="V32" s="317"/>
      <c r="W32" s="317"/>
      <c r="X32" s="318">
        <f>SUM(J32:Q32)</f>
        <v>2947</v>
      </c>
    </row>
    <row r="33" spans="1:24" ht="30" x14ac:dyDescent="0.25">
      <c r="A33" s="310" t="s">
        <v>144</v>
      </c>
      <c r="G33" s="316">
        <v>304</v>
      </c>
      <c r="H33" s="335">
        <v>507</v>
      </c>
      <c r="I33" s="336">
        <v>564</v>
      </c>
      <c r="J33" s="338">
        <v>130</v>
      </c>
      <c r="K33" s="338">
        <f>447-J33</f>
        <v>317</v>
      </c>
      <c r="L33" s="336">
        <v>355</v>
      </c>
      <c r="M33" s="338">
        <v>378</v>
      </c>
      <c r="N33" s="336">
        <v>423</v>
      </c>
      <c r="O33" s="338">
        <v>441</v>
      </c>
      <c r="P33" s="336">
        <v>448</v>
      </c>
      <c r="Q33" s="317">
        <v>455</v>
      </c>
      <c r="R33" s="317">
        <f>+'[2]Lot-Dwelling Projections'!AA49</f>
        <v>561</v>
      </c>
      <c r="S33" s="317">
        <f>+'[2]Lot-Dwelling Projections'!AA50</f>
        <v>596</v>
      </c>
      <c r="T33" s="317">
        <f>+'[2]Lot-Dwelling Projections'!AA51</f>
        <v>640</v>
      </c>
      <c r="U33" s="317">
        <f>+'[2]Lot-Dwelling Projections'!AA52</f>
        <v>690</v>
      </c>
      <c r="V33" s="317">
        <f>+'[2]Lot-Dwelling Projections'!AA53</f>
        <v>730</v>
      </c>
      <c r="W33" s="317">
        <f>+'[2]Lot-Dwelling Projections'!AA54+100</f>
        <v>880</v>
      </c>
      <c r="X33" s="318">
        <f>SUM(J33:W33)</f>
        <v>7044</v>
      </c>
    </row>
  </sheetData>
  <mergeCells count="7">
    <mergeCell ref="A27:Q27"/>
    <mergeCell ref="C28:F28"/>
    <mergeCell ref="G28:Q28"/>
    <mergeCell ref="A1:S1"/>
    <mergeCell ref="C2:F2"/>
    <mergeCell ref="G2:S2"/>
    <mergeCell ref="S3:S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Q212"/>
  <sheetViews>
    <sheetView tabSelected="1" zoomScale="80" zoomScaleNormal="80" workbookViewId="0">
      <selection activeCell="G48" sqref="G48"/>
    </sheetView>
  </sheetViews>
  <sheetFormatPr defaultRowHeight="15" x14ac:dyDescent="0.25"/>
  <cols>
    <col min="1" max="1" width="40.7109375" customWidth="1"/>
    <col min="2" max="2" width="20" bestFit="1" customWidth="1"/>
    <col min="3" max="3" width="21" customWidth="1"/>
    <col min="4" max="4" width="20.28515625" customWidth="1"/>
    <col min="5" max="5" width="18.85546875" customWidth="1"/>
    <col min="6" max="6" width="22.42578125" customWidth="1"/>
    <col min="7" max="7" width="24" bestFit="1" customWidth="1"/>
    <col min="8" max="8" width="19.5703125" customWidth="1"/>
    <col min="9" max="9" width="21" customWidth="1"/>
    <col min="10" max="10" width="23.85546875" customWidth="1"/>
    <col min="11" max="11" width="18.28515625" customWidth="1"/>
    <col min="12" max="12" width="22.42578125" customWidth="1"/>
    <col min="13" max="13" width="25.28515625" customWidth="1"/>
    <col min="14" max="16" width="22.42578125" customWidth="1"/>
    <col min="17" max="17" width="10.5703125" bestFit="1" customWidth="1"/>
    <col min="18" max="18" width="11" bestFit="1" customWidth="1"/>
    <col min="19" max="19" width="43.42578125" hidden="1" customWidth="1"/>
    <col min="20" max="20" width="20" hidden="1" customWidth="1"/>
    <col min="21" max="21" width="17" hidden="1" customWidth="1"/>
    <col min="22" max="22" width="20" hidden="1" customWidth="1"/>
    <col min="23" max="23" width="22.140625" hidden="1" customWidth="1"/>
    <col min="24" max="24" width="14.85546875" hidden="1" customWidth="1"/>
    <col min="25" max="25" width="13.140625" hidden="1" customWidth="1"/>
    <col min="26" max="26" width="17.85546875" hidden="1" customWidth="1"/>
    <col min="27" max="27" width="13.5703125" hidden="1" customWidth="1"/>
    <col min="28" max="28" width="12.85546875" hidden="1" customWidth="1"/>
    <col min="29" max="29" width="16.85546875" hidden="1" customWidth="1"/>
    <col min="30" max="30" width="12.85546875" hidden="1" customWidth="1"/>
    <col min="31" max="31" width="17.28515625" hidden="1" customWidth="1"/>
    <col min="32" max="32" width="12.85546875" hidden="1" customWidth="1"/>
    <col min="33" max="33" width="15.85546875" hidden="1" customWidth="1"/>
    <col min="34" max="36" width="0" hidden="1" customWidth="1"/>
    <col min="37" max="37" width="48.7109375" hidden="1" customWidth="1"/>
    <col min="38" max="38" width="20" hidden="1" customWidth="1"/>
    <col min="39" max="39" width="16.42578125" hidden="1" customWidth="1"/>
    <col min="40" max="40" width="20.28515625" hidden="1" customWidth="1"/>
    <col min="41" max="46" width="14.85546875" hidden="1" customWidth="1"/>
    <col min="47" max="47" width="16" hidden="1" customWidth="1"/>
    <col min="48" max="48" width="14.85546875" hidden="1" customWidth="1"/>
    <col min="49" max="49" width="17.28515625" hidden="1" customWidth="1"/>
    <col min="50" max="50" width="14.85546875" hidden="1" customWidth="1"/>
    <col min="51" max="51" width="18.7109375" hidden="1" customWidth="1"/>
    <col min="55" max="55" width="42.42578125" customWidth="1"/>
    <col min="56" max="56" width="18.140625" customWidth="1"/>
    <col min="57" max="57" width="20.42578125" customWidth="1"/>
    <col min="58" max="61" width="18.140625" customWidth="1"/>
    <col min="62" max="62" width="13.28515625" customWidth="1"/>
    <col min="63" max="63" width="11.7109375" customWidth="1"/>
    <col min="64" max="64" width="13.5703125" customWidth="1"/>
    <col min="65" max="65" width="15" customWidth="1"/>
    <col min="66" max="69" width="13.5703125" customWidth="1"/>
  </cols>
  <sheetData>
    <row r="1" spans="1:16" x14ac:dyDescent="0.25">
      <c r="A1" s="430" t="s">
        <v>190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</row>
    <row r="2" spans="1:16" ht="15.75" thickBot="1" x14ac:dyDescent="0.3"/>
    <row r="3" spans="1:16" x14ac:dyDescent="0.25">
      <c r="B3" s="431" t="s">
        <v>0</v>
      </c>
      <c r="C3" s="432"/>
      <c r="D3" s="1"/>
      <c r="E3" s="433" t="s">
        <v>1</v>
      </c>
      <c r="F3" s="434"/>
      <c r="G3" s="434"/>
      <c r="H3" s="434"/>
      <c r="I3" s="435"/>
      <c r="J3" s="433" t="s">
        <v>2</v>
      </c>
      <c r="K3" s="434"/>
      <c r="L3" s="434"/>
      <c r="M3" s="434"/>
      <c r="N3" s="434"/>
      <c r="O3" s="435"/>
    </row>
    <row r="4" spans="1:16" x14ac:dyDescent="0.25">
      <c r="B4" s="2"/>
      <c r="C4" s="2"/>
      <c r="D4" s="2"/>
      <c r="E4" s="3" t="s">
        <v>3</v>
      </c>
      <c r="F4" s="4"/>
      <c r="G4" s="5"/>
      <c r="H4" s="5" t="s">
        <v>4</v>
      </c>
      <c r="I4" s="6"/>
      <c r="J4" s="2"/>
      <c r="K4" s="2"/>
      <c r="L4" s="2"/>
      <c r="M4" s="2"/>
      <c r="N4" s="2"/>
      <c r="O4" s="7"/>
    </row>
    <row r="5" spans="1:16" ht="45" x14ac:dyDescent="0.25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12" t="s">
        <v>13</v>
      </c>
      <c r="J5" s="10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2" t="s">
        <v>19</v>
      </c>
    </row>
    <row r="6" spans="1:16" x14ac:dyDescent="0.25">
      <c r="A6" s="13" t="s">
        <v>20</v>
      </c>
      <c r="B6" s="14"/>
      <c r="C6" s="14"/>
      <c r="D6" s="15"/>
      <c r="E6" s="16"/>
      <c r="F6" s="15"/>
      <c r="G6" s="15"/>
      <c r="H6" s="15"/>
      <c r="I6" s="17"/>
      <c r="J6" s="16"/>
      <c r="K6" s="15"/>
      <c r="L6" s="15"/>
      <c r="M6" s="15"/>
      <c r="N6" s="18"/>
      <c r="O6" s="19"/>
    </row>
    <row r="7" spans="1:16" x14ac:dyDescent="0.25">
      <c r="A7" s="20" t="s">
        <v>21</v>
      </c>
      <c r="B7" s="21"/>
      <c r="C7" s="21"/>
      <c r="D7" s="22"/>
      <c r="E7" s="23"/>
      <c r="F7" s="22"/>
      <c r="G7" s="22"/>
      <c r="H7" s="22"/>
      <c r="I7" s="24"/>
      <c r="J7" s="25"/>
      <c r="K7" s="22"/>
      <c r="L7" s="22"/>
      <c r="M7" s="22"/>
      <c r="N7" s="26"/>
      <c r="O7" s="27"/>
    </row>
    <row r="8" spans="1:16" ht="28.5" x14ac:dyDescent="0.25">
      <c r="A8" s="28" t="s">
        <v>22</v>
      </c>
      <c r="B8" s="29">
        <v>6833289</v>
      </c>
      <c r="C8" s="29">
        <v>500000</v>
      </c>
      <c r="D8" s="30">
        <f>B8-C8</f>
        <v>6333289</v>
      </c>
      <c r="E8" s="31">
        <v>3089</v>
      </c>
      <c r="F8" s="32">
        <v>541</v>
      </c>
      <c r="G8" s="32">
        <v>353</v>
      </c>
      <c r="H8" s="32">
        <v>6781</v>
      </c>
      <c r="I8" s="33">
        <f>SUM(E8:H8)</f>
        <v>10764</v>
      </c>
      <c r="J8" s="34">
        <f>E8/I8</f>
        <v>0.2869751021924935</v>
      </c>
      <c r="K8" s="35">
        <f>D8*J8</f>
        <v>1817496.2579895949</v>
      </c>
      <c r="L8" s="36">
        <f>(F8+G8+H8)/I8</f>
        <v>0.71302489780750655</v>
      </c>
      <c r="M8" s="37">
        <f>L8*D8</f>
        <v>4515792.7420104053</v>
      </c>
      <c r="N8" s="38">
        <v>6781</v>
      </c>
      <c r="O8" s="39">
        <f>M8/N8</f>
        <v>665.94790473534954</v>
      </c>
    </row>
    <row r="9" spans="1:16" ht="28.5" x14ac:dyDescent="0.25">
      <c r="A9" s="40" t="s">
        <v>23</v>
      </c>
      <c r="B9" s="29">
        <v>2233689</v>
      </c>
      <c r="C9" s="29">
        <v>0</v>
      </c>
      <c r="D9" s="41">
        <f>B9-C9</f>
        <v>2233689</v>
      </c>
      <c r="E9" s="42">
        <v>3089</v>
      </c>
      <c r="F9" s="43">
        <v>541</v>
      </c>
      <c r="G9" s="43">
        <v>353</v>
      </c>
      <c r="H9" s="43">
        <v>6781</v>
      </c>
      <c r="I9" s="33">
        <f>SUM(E9:H9)</f>
        <v>10764</v>
      </c>
      <c r="J9" s="34">
        <f t="shared" ref="J9:J14" si="0">E9/I9</f>
        <v>0.2869751021924935</v>
      </c>
      <c r="K9" s="35">
        <f t="shared" ref="K9:K14" si="1">D9*J9</f>
        <v>641013.12904124858</v>
      </c>
      <c r="L9" s="36">
        <f t="shared" ref="L9:L14" si="2">(F9+G9+H9)/I9</f>
        <v>0.71302489780750655</v>
      </c>
      <c r="M9" s="37">
        <f t="shared" ref="M9:M14" si="3">L9*D9</f>
        <v>1592675.8709587515</v>
      </c>
      <c r="N9" s="38">
        <v>6781</v>
      </c>
      <c r="O9" s="39">
        <f>M9/N9</f>
        <v>234.87330348897677</v>
      </c>
    </row>
    <row r="10" spans="1:16" ht="28.5" x14ac:dyDescent="0.25">
      <c r="A10" s="40" t="s">
        <v>24</v>
      </c>
      <c r="B10" s="44"/>
      <c r="C10" s="44"/>
      <c r="D10" s="45"/>
      <c r="E10" s="46"/>
      <c r="F10" s="47"/>
      <c r="G10" s="47"/>
      <c r="H10" s="47"/>
      <c r="I10" s="48"/>
      <c r="J10" s="49"/>
      <c r="K10" s="50"/>
      <c r="L10" s="51"/>
      <c r="M10" s="52"/>
      <c r="N10" s="53"/>
      <c r="O10" s="54"/>
    </row>
    <row r="11" spans="1:16" x14ac:dyDescent="0.25">
      <c r="A11" s="55" t="s">
        <v>25</v>
      </c>
      <c r="B11" s="29">
        <v>2661150</v>
      </c>
      <c r="C11" s="29">
        <v>0</v>
      </c>
      <c r="D11" s="41">
        <f t="shared" ref="D11:D13" si="4">B11-C11</f>
        <v>2661150</v>
      </c>
      <c r="E11" s="42">
        <v>3089</v>
      </c>
      <c r="F11" s="43">
        <v>541</v>
      </c>
      <c r="G11" s="43">
        <v>353</v>
      </c>
      <c r="H11" s="43">
        <v>6781</v>
      </c>
      <c r="I11" s="33">
        <f t="shared" ref="I11:I13" si="5">SUM(E11:H11)</f>
        <v>10764</v>
      </c>
      <c r="J11" s="34">
        <f t="shared" si="0"/>
        <v>0.2869751021924935</v>
      </c>
      <c r="K11" s="35">
        <f t="shared" si="1"/>
        <v>763683.79319955409</v>
      </c>
      <c r="L11" s="36">
        <f t="shared" si="2"/>
        <v>0.71302489780750655</v>
      </c>
      <c r="M11" s="37">
        <f t="shared" si="3"/>
        <v>1897466.2068004461</v>
      </c>
      <c r="N11" s="38">
        <v>6781</v>
      </c>
      <c r="O11" s="39">
        <f t="shared" ref="O11:O12" si="6">M11/N11</f>
        <v>279.82100085539685</v>
      </c>
    </row>
    <row r="12" spans="1:16" x14ac:dyDescent="0.25">
      <c r="A12" s="55" t="s">
        <v>26</v>
      </c>
      <c r="B12" s="29">
        <v>5801243</v>
      </c>
      <c r="C12" s="29">
        <v>975000</v>
      </c>
      <c r="D12" s="41">
        <f t="shared" si="4"/>
        <v>4826243</v>
      </c>
      <c r="E12" s="42">
        <v>3089</v>
      </c>
      <c r="F12" s="43">
        <v>541</v>
      </c>
      <c r="G12" s="43">
        <v>353</v>
      </c>
      <c r="H12" s="43">
        <v>6781</v>
      </c>
      <c r="I12" s="33">
        <f t="shared" si="5"/>
        <v>10764</v>
      </c>
      <c r="J12" s="34">
        <f t="shared" si="0"/>
        <v>0.2869751021924935</v>
      </c>
      <c r="K12" s="35">
        <f t="shared" si="1"/>
        <v>1385011.5781308063</v>
      </c>
      <c r="L12" s="36">
        <f t="shared" si="2"/>
        <v>0.71302489780750655</v>
      </c>
      <c r="M12" s="37">
        <f t="shared" si="3"/>
        <v>3441231.4218691937</v>
      </c>
      <c r="N12" s="38">
        <v>6781</v>
      </c>
      <c r="O12" s="39">
        <f t="shared" si="6"/>
        <v>507.48140714779436</v>
      </c>
    </row>
    <row r="13" spans="1:16" x14ac:dyDescent="0.25">
      <c r="A13" s="55" t="s">
        <v>27</v>
      </c>
      <c r="B13" s="29">
        <v>3400000</v>
      </c>
      <c r="C13" s="29">
        <v>770333</v>
      </c>
      <c r="D13" s="41">
        <f t="shared" si="4"/>
        <v>2629667</v>
      </c>
      <c r="E13" s="42">
        <v>3089</v>
      </c>
      <c r="F13" s="43">
        <v>541</v>
      </c>
      <c r="G13" s="43">
        <v>353</v>
      </c>
      <c r="H13" s="43">
        <v>6781</v>
      </c>
      <c r="I13" s="33">
        <f t="shared" si="5"/>
        <v>10764</v>
      </c>
      <c r="J13" s="56" t="s">
        <v>28</v>
      </c>
      <c r="K13" s="35">
        <f>+D13-M13</f>
        <v>1191518</v>
      </c>
      <c r="L13" s="36" t="s">
        <v>29</v>
      </c>
      <c r="M13" s="37">
        <v>1438149</v>
      </c>
      <c r="N13" s="38">
        <v>6781</v>
      </c>
      <c r="O13" s="39">
        <f>M13/N13</f>
        <v>212.08509069458782</v>
      </c>
    </row>
    <row r="14" spans="1:16" x14ac:dyDescent="0.25">
      <c r="A14" s="55" t="s">
        <v>30</v>
      </c>
      <c r="B14" s="29">
        <v>6400000</v>
      </c>
      <c r="C14" s="29">
        <v>0</v>
      </c>
      <c r="D14" s="41">
        <f>B14-C14</f>
        <v>6400000</v>
      </c>
      <c r="E14" s="42">
        <v>3089</v>
      </c>
      <c r="F14" s="43">
        <v>541</v>
      </c>
      <c r="G14" s="43">
        <v>353</v>
      </c>
      <c r="H14" s="43">
        <v>6781</v>
      </c>
      <c r="I14" s="33">
        <f>SUM(E14:H14)</f>
        <v>10764</v>
      </c>
      <c r="J14" s="34">
        <f t="shared" si="0"/>
        <v>0.2869751021924935</v>
      </c>
      <c r="K14" s="35">
        <f t="shared" si="1"/>
        <v>1836640.6540319584</v>
      </c>
      <c r="L14" s="36">
        <f t="shared" si="2"/>
        <v>0.71302489780750655</v>
      </c>
      <c r="M14" s="37">
        <f t="shared" si="3"/>
        <v>4563359.3459680416</v>
      </c>
      <c r="N14" s="38">
        <v>6781</v>
      </c>
      <c r="O14" s="39">
        <f>M14/N14</f>
        <v>672.96259341808604</v>
      </c>
    </row>
    <row r="15" spans="1:16" x14ac:dyDescent="0.25">
      <c r="A15" s="57" t="s">
        <v>31</v>
      </c>
      <c r="B15" s="58">
        <f>SUM(B8:B14)</f>
        <v>27329371</v>
      </c>
      <c r="C15" s="58">
        <f>SUM(C8:C14)</f>
        <v>2245333</v>
      </c>
      <c r="D15" s="59">
        <f>SUM(D8:D14)</f>
        <v>25084038</v>
      </c>
      <c r="E15" s="60"/>
      <c r="F15" s="61"/>
      <c r="G15" s="61"/>
      <c r="H15" s="61"/>
      <c r="I15" s="62"/>
      <c r="J15" s="63"/>
      <c r="K15" s="58">
        <f>SUM(K8:K14)</f>
        <v>7635363.412393162</v>
      </c>
      <c r="L15" s="64"/>
      <c r="M15" s="58">
        <f>SUM(M8:M14)</f>
        <v>17448674.58760684</v>
      </c>
      <c r="N15" s="65"/>
      <c r="O15" s="66">
        <f>SUM(O8:O14)</f>
        <v>2573.1713003401915</v>
      </c>
      <c r="P15" s="67"/>
    </row>
    <row r="16" spans="1:16" x14ac:dyDescent="0.25">
      <c r="B16" s="68"/>
      <c r="C16" s="68"/>
      <c r="D16" s="68"/>
      <c r="E16" s="69"/>
      <c r="F16" s="68"/>
      <c r="G16" s="68"/>
      <c r="H16" s="68"/>
      <c r="I16" s="70"/>
      <c r="J16" s="69"/>
      <c r="K16" s="68"/>
      <c r="L16" s="68"/>
      <c r="M16" s="68"/>
      <c r="N16" s="68"/>
      <c r="O16" s="70"/>
    </row>
    <row r="17" spans="1:69" x14ac:dyDescent="0.25">
      <c r="A17" s="71" t="s">
        <v>32</v>
      </c>
      <c r="B17" s="72"/>
      <c r="C17" s="72"/>
      <c r="D17" s="72"/>
      <c r="E17" s="73"/>
      <c r="F17" s="74"/>
      <c r="G17" s="74"/>
      <c r="H17" s="74"/>
      <c r="I17" s="75"/>
      <c r="J17" s="76"/>
      <c r="K17" s="77"/>
      <c r="L17" s="78"/>
      <c r="M17" s="72"/>
      <c r="N17" s="79"/>
      <c r="O17" s="80"/>
    </row>
    <row r="18" spans="1:69" ht="28.5" x14ac:dyDescent="0.25">
      <c r="A18" s="40" t="s">
        <v>33</v>
      </c>
      <c r="B18" s="29">
        <f>'[2]Final Costs'!B108</f>
        <v>95001.83</v>
      </c>
      <c r="C18" s="29">
        <v>0</v>
      </c>
      <c r="D18" s="41">
        <f>B18-C18</f>
        <v>95001.83</v>
      </c>
      <c r="E18" s="42"/>
      <c r="F18" s="43"/>
      <c r="G18" s="43"/>
      <c r="H18" s="43"/>
      <c r="I18" s="81"/>
      <c r="J18" s="82">
        <v>0</v>
      </c>
      <c r="K18" s="83">
        <v>0</v>
      </c>
      <c r="L18" s="84">
        <v>0.5</v>
      </c>
      <c r="M18" s="29">
        <f>B18*L18</f>
        <v>47500.915000000001</v>
      </c>
      <c r="N18" s="38">
        <v>6781</v>
      </c>
      <c r="O18" s="39">
        <f>M18/N18</f>
        <v>7.0050014747087452</v>
      </c>
    </row>
    <row r="19" spans="1:69" ht="28.5" x14ac:dyDescent="0.25">
      <c r="A19" s="40" t="s">
        <v>34</v>
      </c>
      <c r="B19" s="29">
        <f>'[2]Final Costs'!B113</f>
        <v>2900</v>
      </c>
      <c r="C19" s="29">
        <v>0</v>
      </c>
      <c r="D19" s="41">
        <f t="shared" ref="D19:D21" si="7">B19-C19</f>
        <v>2900</v>
      </c>
      <c r="E19" s="42"/>
      <c r="F19" s="43"/>
      <c r="G19" s="43"/>
      <c r="H19" s="43"/>
      <c r="I19" s="81"/>
      <c r="J19" s="85">
        <v>0</v>
      </c>
      <c r="K19" s="35">
        <v>0</v>
      </c>
      <c r="L19" s="36">
        <v>1</v>
      </c>
      <c r="M19" s="37">
        <f>B19*L19</f>
        <v>2900</v>
      </c>
      <c r="N19" s="38">
        <v>6781</v>
      </c>
      <c r="O19" s="39">
        <f>M19/N19</f>
        <v>0.42766553605662883</v>
      </c>
    </row>
    <row r="20" spans="1:69" ht="28.5" x14ac:dyDescent="0.25">
      <c r="A20" s="40" t="s">
        <v>35</v>
      </c>
      <c r="B20" s="29">
        <v>2430240</v>
      </c>
      <c r="C20" s="29">
        <v>0</v>
      </c>
      <c r="D20" s="41">
        <f t="shared" si="7"/>
        <v>2430240</v>
      </c>
      <c r="E20" s="42"/>
      <c r="F20" s="43"/>
      <c r="G20" s="43"/>
      <c r="H20" s="43"/>
      <c r="I20" s="81"/>
      <c r="J20" s="85">
        <v>0</v>
      </c>
      <c r="K20" s="35">
        <v>0</v>
      </c>
      <c r="L20" s="36">
        <v>1</v>
      </c>
      <c r="M20" s="37">
        <f>B20*L20</f>
        <v>2430240</v>
      </c>
      <c r="N20" s="38">
        <v>6781</v>
      </c>
      <c r="O20" s="39">
        <f>M20/N20</f>
        <v>358.38961805043505</v>
      </c>
    </row>
    <row r="21" spans="1:69" ht="42.75" x14ac:dyDescent="0.25">
      <c r="A21" s="40" t="s">
        <v>36</v>
      </c>
      <c r="B21" s="29">
        <f>'[2]Final Costs'!B125</f>
        <v>705000</v>
      </c>
      <c r="C21" s="29">
        <v>0</v>
      </c>
      <c r="D21" s="41">
        <f t="shared" si="7"/>
        <v>705000</v>
      </c>
      <c r="E21" s="42"/>
      <c r="F21" s="43"/>
      <c r="G21" s="43"/>
      <c r="H21" s="43"/>
      <c r="I21" s="81"/>
      <c r="J21" s="85">
        <v>0</v>
      </c>
      <c r="K21" s="35">
        <v>0</v>
      </c>
      <c r="L21" s="36">
        <v>1</v>
      </c>
      <c r="M21" s="37">
        <f>B21*L21</f>
        <v>705000</v>
      </c>
      <c r="N21" s="38">
        <v>6781</v>
      </c>
      <c r="O21" s="39">
        <f>M21/N21</f>
        <v>103.96696652411148</v>
      </c>
    </row>
    <row r="22" spans="1:69" x14ac:dyDescent="0.25">
      <c r="A22" s="57" t="s">
        <v>37</v>
      </c>
      <c r="B22" s="86">
        <f>SUM(B18:B21)</f>
        <v>3233141.83</v>
      </c>
      <c r="C22" s="86">
        <f>SUM(C18:C21)</f>
        <v>0</v>
      </c>
      <c r="D22" s="87">
        <f>SUM(D18:D21)</f>
        <v>3233141.83</v>
      </c>
      <c r="E22" s="60"/>
      <c r="F22" s="61"/>
      <c r="G22" s="61"/>
      <c r="H22" s="61"/>
      <c r="I22" s="62"/>
      <c r="J22" s="63"/>
      <c r="K22" s="86">
        <f>SUM(K18:K21)</f>
        <v>0</v>
      </c>
      <c r="L22" s="64"/>
      <c r="M22" s="58">
        <f>SUM(M18:M21)</f>
        <v>3185640.915</v>
      </c>
      <c r="N22" s="65">
        <v>6781</v>
      </c>
      <c r="O22" s="66">
        <f>SUM(O18:O21)</f>
        <v>469.78925158531194</v>
      </c>
    </row>
    <row r="23" spans="1:69" x14ac:dyDescent="0.25">
      <c r="A23" s="88"/>
      <c r="B23" s="89"/>
      <c r="C23" s="89"/>
      <c r="D23" s="89"/>
      <c r="E23" s="90"/>
      <c r="F23" s="91"/>
      <c r="G23" s="91"/>
      <c r="H23" s="91"/>
      <c r="I23" s="92"/>
      <c r="J23" s="93"/>
      <c r="K23" s="89"/>
      <c r="L23" s="94"/>
      <c r="M23" s="95"/>
      <c r="N23" s="96"/>
      <c r="O23" s="97"/>
    </row>
    <row r="24" spans="1:69" x14ac:dyDescent="0.25">
      <c r="A24" s="71" t="s">
        <v>38</v>
      </c>
      <c r="B24" s="89"/>
      <c r="C24" s="89"/>
      <c r="D24" s="89"/>
      <c r="E24" s="90"/>
      <c r="F24" s="91"/>
      <c r="G24" s="91"/>
      <c r="H24" s="91"/>
      <c r="I24" s="92"/>
      <c r="J24" s="93"/>
      <c r="K24" s="89"/>
      <c r="L24" s="94"/>
      <c r="M24" s="95"/>
      <c r="N24" s="96"/>
      <c r="O24" s="97"/>
    </row>
    <row r="25" spans="1:69" x14ac:dyDescent="0.25">
      <c r="A25" s="98" t="s">
        <v>39</v>
      </c>
      <c r="B25" s="99"/>
      <c r="C25" s="100"/>
      <c r="D25" s="101"/>
      <c r="E25" s="102"/>
      <c r="F25" s="103"/>
      <c r="G25" s="103"/>
      <c r="H25" s="103"/>
      <c r="I25" s="104"/>
      <c r="J25" s="105"/>
      <c r="K25" s="106">
        <v>0</v>
      </c>
      <c r="L25" s="107"/>
      <c r="M25" s="106">
        <f>-1703205-15837</f>
        <v>-1719042</v>
      </c>
      <c r="N25" s="38">
        <v>6781</v>
      </c>
      <c r="O25" s="39">
        <f>M25/N25</f>
        <v>-253.50862704615838</v>
      </c>
    </row>
    <row r="26" spans="1:69" x14ac:dyDescent="0.25">
      <c r="A26" s="98" t="s">
        <v>40</v>
      </c>
      <c r="B26" s="99"/>
      <c r="C26" s="100"/>
      <c r="D26" s="101"/>
      <c r="E26" s="102"/>
      <c r="F26" s="103"/>
      <c r="G26" s="103"/>
      <c r="H26" s="103"/>
      <c r="I26" s="104"/>
      <c r="J26" s="108"/>
      <c r="K26" s="109">
        <v>0</v>
      </c>
      <c r="L26" s="107"/>
      <c r="M26" s="109">
        <v>-64101</v>
      </c>
      <c r="N26" s="38">
        <v>6781</v>
      </c>
      <c r="O26" s="39">
        <f>M26/N26</f>
        <v>-9.4530305264710215</v>
      </c>
    </row>
    <row r="27" spans="1:69" x14ac:dyDescent="0.25">
      <c r="A27" s="57" t="s">
        <v>41</v>
      </c>
      <c r="B27" s="86"/>
      <c r="C27" s="86"/>
      <c r="D27" s="87"/>
      <c r="E27" s="60"/>
      <c r="F27" s="61"/>
      <c r="G27" s="61"/>
      <c r="H27" s="61"/>
      <c r="I27" s="62"/>
      <c r="J27" s="63"/>
      <c r="K27" s="86">
        <f>SUM(K25:K26)</f>
        <v>0</v>
      </c>
      <c r="L27" s="64"/>
      <c r="M27" s="58">
        <f>SUM(M25:M26)</f>
        <v>-1783143</v>
      </c>
      <c r="N27" s="65">
        <v>6781</v>
      </c>
      <c r="O27" s="66">
        <f>SUM(O25:O26)</f>
        <v>-262.96165757262941</v>
      </c>
    </row>
    <row r="28" spans="1:69" x14ac:dyDescent="0.25">
      <c r="B28" s="99"/>
      <c r="C28" s="99"/>
      <c r="D28" s="68"/>
      <c r="E28" s="69"/>
      <c r="F28" s="68"/>
      <c r="G28" s="68"/>
      <c r="H28" s="68"/>
      <c r="I28" s="70"/>
      <c r="J28" s="69"/>
      <c r="K28" s="68"/>
      <c r="L28" s="68"/>
      <c r="M28" s="68"/>
      <c r="N28" s="68"/>
      <c r="O28" s="70"/>
    </row>
    <row r="29" spans="1:69" ht="15.75" thickBot="1" x14ac:dyDescent="0.3">
      <c r="A29" s="110" t="s">
        <v>42</v>
      </c>
      <c r="B29" s="111"/>
      <c r="C29" s="111"/>
      <c r="D29" s="112"/>
      <c r="E29" s="113"/>
      <c r="F29" s="114"/>
      <c r="G29" s="114"/>
      <c r="H29" s="114"/>
      <c r="I29" s="115"/>
      <c r="J29" s="116"/>
      <c r="K29" s="117">
        <f>SUM(K15,K22,K27)</f>
        <v>7635363.412393162</v>
      </c>
      <c r="L29" s="118"/>
      <c r="M29" s="117">
        <f>SUM(M15,M22,M27)</f>
        <v>18851172.502606839</v>
      </c>
      <c r="N29" s="119">
        <v>6781</v>
      </c>
      <c r="O29" s="120">
        <f>SUM(O15,O22,O27)</f>
        <v>2779.9988943528738</v>
      </c>
    </row>
    <row r="31" spans="1:69" x14ac:dyDescent="0.25">
      <c r="J31" s="121"/>
    </row>
    <row r="32" spans="1:69" x14ac:dyDescent="0.25">
      <c r="A32" s="430" t="s">
        <v>191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BC32" s="430" t="s">
        <v>192</v>
      </c>
      <c r="BD32" s="430"/>
      <c r="BE32" s="430"/>
      <c r="BF32" s="430"/>
      <c r="BG32" s="430"/>
      <c r="BH32" s="430"/>
      <c r="BI32" s="430"/>
      <c r="BJ32" s="430"/>
      <c r="BK32" s="430"/>
      <c r="BL32" s="430"/>
      <c r="BM32" s="430"/>
      <c r="BN32" s="430"/>
      <c r="BO32" s="430"/>
      <c r="BP32" s="430"/>
      <c r="BQ32" s="430"/>
    </row>
    <row r="33" spans="1:69" ht="15.75" thickBot="1" x14ac:dyDescent="0.3">
      <c r="S33" t="s">
        <v>43</v>
      </c>
      <c r="AK33" t="s">
        <v>44</v>
      </c>
    </row>
    <row r="34" spans="1:69" x14ac:dyDescent="0.25">
      <c r="B34" s="431" t="s">
        <v>0</v>
      </c>
      <c r="C34" s="432"/>
      <c r="D34" s="1"/>
      <c r="E34" s="433" t="s">
        <v>1</v>
      </c>
      <c r="F34" s="434"/>
      <c r="G34" s="434"/>
      <c r="H34" s="434"/>
      <c r="I34" s="435"/>
      <c r="J34" s="433" t="s">
        <v>2</v>
      </c>
      <c r="K34" s="434"/>
      <c r="L34" s="434"/>
      <c r="M34" s="434"/>
      <c r="N34" s="434"/>
      <c r="O34" s="435"/>
      <c r="T34" s="431" t="s">
        <v>0</v>
      </c>
      <c r="U34" s="432"/>
      <c r="V34" s="1"/>
      <c r="W34" s="433" t="s">
        <v>1</v>
      </c>
      <c r="X34" s="434"/>
      <c r="Y34" s="434"/>
      <c r="Z34" s="434"/>
      <c r="AA34" s="435"/>
      <c r="AB34" s="433" t="s">
        <v>2</v>
      </c>
      <c r="AC34" s="434"/>
      <c r="AD34" s="434"/>
      <c r="AE34" s="434"/>
      <c r="AF34" s="434"/>
      <c r="AG34" s="435"/>
      <c r="AL34" s="431" t="s">
        <v>0</v>
      </c>
      <c r="AM34" s="432"/>
      <c r="AN34" s="1"/>
      <c r="AO34" s="433" t="s">
        <v>1</v>
      </c>
      <c r="AP34" s="434"/>
      <c r="AQ34" s="434"/>
      <c r="AR34" s="434"/>
      <c r="AS34" s="435"/>
      <c r="AT34" s="433" t="s">
        <v>2</v>
      </c>
      <c r="AU34" s="434"/>
      <c r="AV34" s="434"/>
      <c r="AW34" s="434"/>
      <c r="AX34" s="434"/>
      <c r="AY34" s="435"/>
      <c r="BD34" s="433" t="s">
        <v>0</v>
      </c>
      <c r="BE34" s="439"/>
      <c r="BF34" s="122"/>
      <c r="BG34" s="434" t="s">
        <v>1</v>
      </c>
      <c r="BH34" s="434"/>
      <c r="BI34" s="434"/>
      <c r="BJ34" s="434"/>
      <c r="BK34" s="435"/>
      <c r="BL34" s="433" t="s">
        <v>2</v>
      </c>
      <c r="BM34" s="434"/>
      <c r="BN34" s="434"/>
      <c r="BO34" s="434"/>
      <c r="BP34" s="434"/>
      <c r="BQ34" s="435"/>
    </row>
    <row r="35" spans="1:69" ht="15.75" thickBot="1" x14ac:dyDescent="0.3">
      <c r="B35" s="2"/>
      <c r="C35" s="2"/>
      <c r="D35" s="2"/>
      <c r="E35" s="3" t="s">
        <v>3</v>
      </c>
      <c r="F35" s="4"/>
      <c r="G35" s="5"/>
      <c r="H35" s="5" t="s">
        <v>4</v>
      </c>
      <c r="I35" s="6"/>
      <c r="J35" s="2"/>
      <c r="K35" s="2"/>
      <c r="L35" s="2"/>
      <c r="M35" s="2"/>
      <c r="N35" s="2"/>
      <c r="O35" s="7"/>
      <c r="T35" s="2"/>
      <c r="U35" s="2"/>
      <c r="V35" s="2"/>
      <c r="W35" s="3" t="s">
        <v>3</v>
      </c>
      <c r="X35" s="431" t="s">
        <v>4</v>
      </c>
      <c r="Y35" s="440"/>
      <c r="Z35" s="440"/>
      <c r="AA35" s="441"/>
      <c r="AB35" s="123"/>
      <c r="AC35" s="2"/>
      <c r="AD35" s="2"/>
      <c r="AE35" s="2"/>
      <c r="AF35" s="2"/>
      <c r="AG35" s="7"/>
      <c r="AL35" s="2"/>
      <c r="AM35" s="2"/>
      <c r="AN35" s="2"/>
      <c r="AO35" s="3" t="s">
        <v>3</v>
      </c>
      <c r="AP35" s="4"/>
      <c r="AQ35" s="5"/>
      <c r="AR35" s="5" t="s">
        <v>4</v>
      </c>
      <c r="AS35" s="6"/>
      <c r="AT35" s="2"/>
      <c r="AU35" s="2"/>
      <c r="AV35" s="2"/>
      <c r="AW35" s="2"/>
      <c r="AX35" s="2"/>
      <c r="AY35" s="7"/>
      <c r="BD35" s="124"/>
      <c r="BE35" s="125"/>
      <c r="BF35" s="126"/>
      <c r="BG35" s="6" t="s">
        <v>3</v>
      </c>
      <c r="BH35" s="4"/>
      <c r="BI35" s="5"/>
      <c r="BJ35" s="5" t="s">
        <v>4</v>
      </c>
      <c r="BK35" s="6"/>
      <c r="BL35" s="2"/>
      <c r="BM35" s="2"/>
      <c r="BN35" s="2"/>
      <c r="BO35" s="2"/>
      <c r="BP35" s="2"/>
      <c r="BQ35" s="7"/>
    </row>
    <row r="36" spans="1:69" ht="45" x14ac:dyDescent="0.25">
      <c r="A36" s="8" t="s">
        <v>5</v>
      </c>
      <c r="B36" s="9" t="s">
        <v>6</v>
      </c>
      <c r="C36" s="9" t="s">
        <v>7</v>
      </c>
      <c r="D36" s="9" t="s">
        <v>8</v>
      </c>
      <c r="E36" s="10" t="s">
        <v>9</v>
      </c>
      <c r="F36" s="11" t="s">
        <v>10</v>
      </c>
      <c r="G36" s="11" t="s">
        <v>11</v>
      </c>
      <c r="H36" s="11" t="s">
        <v>12</v>
      </c>
      <c r="I36" s="12" t="s">
        <v>13</v>
      </c>
      <c r="J36" s="10" t="s">
        <v>14</v>
      </c>
      <c r="K36" s="11" t="s">
        <v>15</v>
      </c>
      <c r="L36" s="11" t="s">
        <v>16</v>
      </c>
      <c r="M36" s="11" t="s">
        <v>17</v>
      </c>
      <c r="N36" s="11" t="s">
        <v>18</v>
      </c>
      <c r="O36" s="12" t="s">
        <v>19</v>
      </c>
      <c r="S36" s="8" t="s">
        <v>5</v>
      </c>
      <c r="T36" s="9" t="s">
        <v>6</v>
      </c>
      <c r="U36" s="9" t="s">
        <v>7</v>
      </c>
      <c r="V36" s="9" t="s">
        <v>8</v>
      </c>
      <c r="W36" s="10" t="s">
        <v>9</v>
      </c>
      <c r="X36" s="11" t="s">
        <v>10</v>
      </c>
      <c r="Y36" s="11" t="s">
        <v>11</v>
      </c>
      <c r="Z36" s="11" t="s">
        <v>12</v>
      </c>
      <c r="AA36" s="127" t="s">
        <v>13</v>
      </c>
      <c r="AB36" s="10" t="s">
        <v>14</v>
      </c>
      <c r="AC36" s="11" t="s">
        <v>15</v>
      </c>
      <c r="AD36" s="11" t="s">
        <v>16</v>
      </c>
      <c r="AE36" s="11" t="s">
        <v>17</v>
      </c>
      <c r="AF36" s="11" t="s">
        <v>18</v>
      </c>
      <c r="AG36" s="12" t="s">
        <v>19</v>
      </c>
      <c r="AK36" s="8" t="s">
        <v>5</v>
      </c>
      <c r="AL36" s="9" t="s">
        <v>6</v>
      </c>
      <c r="AM36" s="9" t="s">
        <v>7</v>
      </c>
      <c r="AN36" s="9" t="s">
        <v>8</v>
      </c>
      <c r="AO36" s="10" t="s">
        <v>9</v>
      </c>
      <c r="AP36" s="11" t="s">
        <v>10</v>
      </c>
      <c r="AQ36" s="11" t="s">
        <v>11</v>
      </c>
      <c r="AR36" s="11" t="s">
        <v>12</v>
      </c>
      <c r="AS36" s="12" t="s">
        <v>13</v>
      </c>
      <c r="AT36" s="10" t="s">
        <v>14</v>
      </c>
      <c r="AU36" s="11" t="s">
        <v>15</v>
      </c>
      <c r="AV36" s="11" t="s">
        <v>16</v>
      </c>
      <c r="AW36" s="11" t="s">
        <v>17</v>
      </c>
      <c r="AX36" s="11" t="s">
        <v>18</v>
      </c>
      <c r="AY36" s="12" t="s">
        <v>19</v>
      </c>
      <c r="BC36" s="128" t="s">
        <v>5</v>
      </c>
      <c r="BD36" s="129" t="s">
        <v>6</v>
      </c>
      <c r="BE36" s="129" t="s">
        <v>7</v>
      </c>
      <c r="BF36" s="130" t="s">
        <v>8</v>
      </c>
      <c r="BG36" s="10" t="s">
        <v>9</v>
      </c>
      <c r="BH36" s="11" t="s">
        <v>10</v>
      </c>
      <c r="BI36" s="11" t="s">
        <v>11</v>
      </c>
      <c r="BJ36" s="11" t="s">
        <v>4</v>
      </c>
      <c r="BK36" s="12" t="s">
        <v>13</v>
      </c>
      <c r="BL36" s="10" t="s">
        <v>14</v>
      </c>
      <c r="BM36" s="11" t="s">
        <v>15</v>
      </c>
      <c r="BN36" s="11" t="s">
        <v>16</v>
      </c>
      <c r="BO36" s="11" t="s">
        <v>17</v>
      </c>
      <c r="BP36" s="11" t="s">
        <v>18</v>
      </c>
      <c r="BQ36" s="12" t="s">
        <v>19</v>
      </c>
    </row>
    <row r="37" spans="1:69" x14ac:dyDescent="0.25">
      <c r="A37" s="13" t="s">
        <v>20</v>
      </c>
      <c r="B37" s="14"/>
      <c r="C37" s="14"/>
      <c r="D37" s="15"/>
      <c r="E37" s="16"/>
      <c r="F37" s="15"/>
      <c r="G37" s="15"/>
      <c r="H37" s="15"/>
      <c r="I37" s="17"/>
      <c r="J37" s="16"/>
      <c r="K37" s="15"/>
      <c r="L37" s="15"/>
      <c r="M37" s="15"/>
      <c r="N37" s="18"/>
      <c r="O37" s="19"/>
      <c r="S37" s="13" t="s">
        <v>20</v>
      </c>
      <c r="T37" s="14"/>
      <c r="U37" s="14"/>
      <c r="V37" s="15"/>
      <c r="W37" s="16"/>
      <c r="X37" s="15"/>
      <c r="Y37" s="15"/>
      <c r="Z37" s="15"/>
      <c r="AA37" s="15"/>
      <c r="AB37" s="16"/>
      <c r="AC37" s="15"/>
      <c r="AD37" s="15"/>
      <c r="AE37" s="15"/>
      <c r="AF37" s="18"/>
      <c r="AG37" s="19"/>
      <c r="AK37" s="13" t="s">
        <v>20</v>
      </c>
      <c r="AL37" s="14"/>
      <c r="AM37" s="14"/>
      <c r="AN37" s="15"/>
      <c r="AO37" s="16"/>
      <c r="AP37" s="15"/>
      <c r="AQ37" s="15"/>
      <c r="AR37" s="15"/>
      <c r="AS37" s="17"/>
      <c r="AT37" s="16"/>
      <c r="AU37" s="15"/>
      <c r="AV37" s="15"/>
      <c r="AW37" s="15"/>
      <c r="AX37" s="18"/>
      <c r="AY37" s="19"/>
      <c r="BC37" s="131" t="s">
        <v>20</v>
      </c>
      <c r="BD37" s="14"/>
      <c r="BE37" s="14"/>
      <c r="BF37" s="17"/>
      <c r="BG37" s="16"/>
      <c r="BH37" s="15"/>
      <c r="BI37" s="15"/>
      <c r="BJ37" s="15"/>
      <c r="BK37" s="17"/>
      <c r="BL37" s="16"/>
      <c r="BM37" s="15"/>
      <c r="BN37" s="15"/>
      <c r="BO37" s="15"/>
      <c r="BP37" s="18"/>
      <c r="BQ37" s="19"/>
    </row>
    <row r="38" spans="1:69" x14ac:dyDescent="0.25">
      <c r="A38" s="20" t="s">
        <v>21</v>
      </c>
      <c r="B38" s="21"/>
      <c r="C38" s="21"/>
      <c r="D38" s="22"/>
      <c r="E38" s="23"/>
      <c r="F38" s="22"/>
      <c r="G38" s="22"/>
      <c r="H38" s="22"/>
      <c r="I38" s="24"/>
      <c r="J38" s="25"/>
      <c r="K38" s="22"/>
      <c r="L38" s="22"/>
      <c r="M38" s="22"/>
      <c r="N38" s="26"/>
      <c r="O38" s="27"/>
      <c r="S38" s="20" t="s">
        <v>21</v>
      </c>
      <c r="T38" s="21"/>
      <c r="U38" s="21"/>
      <c r="V38" s="22"/>
      <c r="W38" s="23"/>
      <c r="X38" s="22"/>
      <c r="Y38" s="22"/>
      <c r="Z38" s="22"/>
      <c r="AA38" s="22"/>
      <c r="AB38" s="25"/>
      <c r="AC38" s="22"/>
      <c r="AD38" s="22"/>
      <c r="AE38" s="22"/>
      <c r="AF38" s="26"/>
      <c r="AG38" s="27"/>
      <c r="AK38" s="20" t="s">
        <v>21</v>
      </c>
      <c r="AL38" s="21"/>
      <c r="AM38" s="21"/>
      <c r="AN38" s="22"/>
      <c r="AO38" s="23"/>
      <c r="AP38" s="22"/>
      <c r="AQ38" s="22"/>
      <c r="AR38" s="22"/>
      <c r="AS38" s="24"/>
      <c r="AT38" s="25"/>
      <c r="AU38" s="22"/>
      <c r="AV38" s="22"/>
      <c r="AW38" s="22"/>
      <c r="AX38" s="26"/>
      <c r="AY38" s="27"/>
      <c r="BC38" s="132" t="s">
        <v>21</v>
      </c>
      <c r="BD38" s="21"/>
      <c r="BE38" s="21"/>
      <c r="BF38" s="24"/>
      <c r="BG38" s="23"/>
      <c r="BH38" s="22"/>
      <c r="BI38" s="22"/>
      <c r="BJ38" s="22"/>
      <c r="BK38" s="24"/>
      <c r="BL38" s="25"/>
      <c r="BM38" s="22"/>
      <c r="BN38" s="22"/>
      <c r="BO38" s="22"/>
      <c r="BP38" s="26"/>
      <c r="BQ38" s="27"/>
    </row>
    <row r="39" spans="1:69" ht="28.5" x14ac:dyDescent="0.25">
      <c r="A39" s="28" t="s">
        <v>22</v>
      </c>
      <c r="B39" s="133">
        <f>6833289+1127874</f>
        <v>7961163</v>
      </c>
      <c r="C39" s="29">
        <v>500000</v>
      </c>
      <c r="D39" s="30">
        <f>B39-C39</f>
        <v>7461163</v>
      </c>
      <c r="E39" s="31">
        <v>3089</v>
      </c>
      <c r="F39" s="32">
        <v>541</v>
      </c>
      <c r="G39" s="32">
        <f>+'Revised projections 2018'!$K$18</f>
        <v>633</v>
      </c>
      <c r="H39" s="392">
        <v>4962</v>
      </c>
      <c r="I39" s="33">
        <f>SUM(E39:H39)</f>
        <v>9225</v>
      </c>
      <c r="J39" s="34">
        <f>E39/I39</f>
        <v>0.3348509485094851</v>
      </c>
      <c r="K39" s="35">
        <f>D39*J39</f>
        <v>2498377.5075338753</v>
      </c>
      <c r="L39" s="36">
        <f>(F39+G39+H39)/I39</f>
        <v>0.66514905149051495</v>
      </c>
      <c r="M39" s="37">
        <f>L39*D39</f>
        <v>4962785.4924661247</v>
      </c>
      <c r="N39" s="32">
        <f>+H39</f>
        <v>4962</v>
      </c>
      <c r="O39" s="39">
        <f>M39/N39</f>
        <v>1000.158301585273</v>
      </c>
      <c r="S39" s="28" t="s">
        <v>22</v>
      </c>
      <c r="T39" s="133">
        <f>+B39</f>
        <v>7961163</v>
      </c>
      <c r="U39" s="29">
        <v>500000</v>
      </c>
      <c r="V39" s="30">
        <f>T39-U39</f>
        <v>7461163</v>
      </c>
      <c r="W39" s="31">
        <v>3089</v>
      </c>
      <c r="X39" s="32">
        <v>541</v>
      </c>
      <c r="Y39" s="32">
        <f>353+150</f>
        <v>503</v>
      </c>
      <c r="Z39" s="32">
        <v>2947</v>
      </c>
      <c r="AA39" s="134">
        <f>SUM(W39:Z39)</f>
        <v>7080</v>
      </c>
      <c r="AB39" s="34">
        <f>W39/AA39</f>
        <v>0.43629943502824858</v>
      </c>
      <c r="AC39" s="35">
        <f>V39*AB39</f>
        <v>3255301.2015536721</v>
      </c>
      <c r="AD39" s="36">
        <f>(X39+Y39+Z39)/AA39</f>
        <v>0.56370056497175136</v>
      </c>
      <c r="AE39" s="37">
        <f>AD39*V39</f>
        <v>4205861.7984463274</v>
      </c>
      <c r="AF39" s="32">
        <v>2947</v>
      </c>
      <c r="AG39" s="39">
        <f>AE39/AF39</f>
        <v>1427.1672203754081</v>
      </c>
      <c r="AK39" s="28" t="s">
        <v>22</v>
      </c>
      <c r="AL39" s="133">
        <f>6833289+1127874</f>
        <v>7961163</v>
      </c>
      <c r="AM39" s="29">
        <v>500000</v>
      </c>
      <c r="AN39" s="30">
        <f>AL39-AM39</f>
        <v>7461163</v>
      </c>
      <c r="AO39" s="31">
        <v>3089</v>
      </c>
      <c r="AP39" s="32">
        <v>541</v>
      </c>
      <c r="AQ39" s="32">
        <f>353+150</f>
        <v>503</v>
      </c>
      <c r="AR39" s="32">
        <v>2750</v>
      </c>
      <c r="AS39" s="33">
        <f>SUM(AO39:AR39)</f>
        <v>6883</v>
      </c>
      <c r="AT39" s="34">
        <f>AO39/AS39</f>
        <v>0.44878686619206742</v>
      </c>
      <c r="AU39" s="35">
        <f>AN39*AT39</f>
        <v>3348471.9609182044</v>
      </c>
      <c r="AV39" s="36">
        <f>(AP39+AQ39+AR39)/AS39</f>
        <v>0.55121313380793258</v>
      </c>
      <c r="AW39" s="37">
        <f>AV39*AN39</f>
        <v>4112691.0390817956</v>
      </c>
      <c r="AX39" s="32">
        <v>2750</v>
      </c>
      <c r="AY39" s="39">
        <f>AW39/AX39</f>
        <v>1495.524014211562</v>
      </c>
      <c r="BC39" s="135" t="s">
        <v>22</v>
      </c>
      <c r="BD39" s="133">
        <f>+B39</f>
        <v>7961163</v>
      </c>
      <c r="BE39" s="29">
        <v>500000</v>
      </c>
      <c r="BF39" s="136">
        <f>BD39-BE39</f>
        <v>7461163</v>
      </c>
      <c r="BG39" s="31">
        <v>3089</v>
      </c>
      <c r="BH39" s="32">
        <v>541</v>
      </c>
      <c r="BI39" s="32">
        <f>+G39</f>
        <v>633</v>
      </c>
      <c r="BJ39" s="32">
        <f>+BK39-BI39-BH39-BG39</f>
        <v>6605</v>
      </c>
      <c r="BK39" s="33">
        <v>10868</v>
      </c>
      <c r="BL39" s="34">
        <f>BG39/BK39</f>
        <v>0.28422892896577107</v>
      </c>
      <c r="BM39" s="35">
        <f>BF39*BL39</f>
        <v>2120678.3683290393</v>
      </c>
      <c r="BN39" s="36">
        <f>(BH39+BI39+BJ39)/BK39</f>
        <v>0.71577107103422888</v>
      </c>
      <c r="BO39" s="37">
        <f>BN39*BF39</f>
        <v>5340484.6316709602</v>
      </c>
      <c r="BP39" s="32">
        <f>+BJ39</f>
        <v>6605</v>
      </c>
      <c r="BQ39" s="39">
        <f>BO39/BP39</f>
        <v>808.55179889038004</v>
      </c>
    </row>
    <row r="40" spans="1:69" ht="28.5" x14ac:dyDescent="0.25">
      <c r="A40" s="40" t="s">
        <v>23</v>
      </c>
      <c r="B40" s="133">
        <f>2233689+(2233689*2.5%)</f>
        <v>2289531.2250000001</v>
      </c>
      <c r="C40" s="29">
        <v>0</v>
      </c>
      <c r="D40" s="41">
        <f>B40-C40</f>
        <v>2289531.2250000001</v>
      </c>
      <c r="E40" s="42">
        <v>3089</v>
      </c>
      <c r="F40" s="43">
        <v>541</v>
      </c>
      <c r="G40" s="32">
        <f>+'Revised projections 2018'!$K$18</f>
        <v>633</v>
      </c>
      <c r="H40" s="392">
        <v>4962</v>
      </c>
      <c r="I40" s="33">
        <f>SUM(E40:H40)</f>
        <v>9225</v>
      </c>
      <c r="J40" s="34">
        <f t="shared" ref="J40" si="8">E40/I40</f>
        <v>0.3348509485094851</v>
      </c>
      <c r="K40" s="35">
        <f t="shared" ref="K40" si="9">D40*J40</f>
        <v>766651.70233333344</v>
      </c>
      <c r="L40" s="36">
        <f t="shared" ref="L40" si="10">(F40+G40+H40)/I40</f>
        <v>0.66514905149051495</v>
      </c>
      <c r="M40" s="37">
        <f t="shared" ref="M40" si="11">L40*D40</f>
        <v>1522879.5226666669</v>
      </c>
      <c r="N40" s="32">
        <f>+H40</f>
        <v>4962</v>
      </c>
      <c r="O40" s="39">
        <f>M40/N40</f>
        <v>306.90840843745804</v>
      </c>
      <c r="S40" s="40" t="s">
        <v>23</v>
      </c>
      <c r="T40" s="133">
        <f>+B40</f>
        <v>2289531.2250000001</v>
      </c>
      <c r="U40" s="29">
        <v>0</v>
      </c>
      <c r="V40" s="41">
        <f>T40-U40</f>
        <v>2289531.2250000001</v>
      </c>
      <c r="W40" s="42">
        <v>3089</v>
      </c>
      <c r="X40" s="43">
        <v>541</v>
      </c>
      <c r="Y40" s="32">
        <f>353+150</f>
        <v>503</v>
      </c>
      <c r="Z40" s="32">
        <v>2947</v>
      </c>
      <c r="AA40" s="134">
        <f>SUM(W40:Z40)</f>
        <v>7080</v>
      </c>
      <c r="AB40" s="34">
        <f t="shared" ref="AB40" si="12">W40/AA40</f>
        <v>0.43629943502824858</v>
      </c>
      <c r="AC40" s="35">
        <f t="shared" ref="AC40" si="13">V40*AB40</f>
        <v>998921.17994703387</v>
      </c>
      <c r="AD40" s="36">
        <f t="shared" ref="AD40" si="14">(X40+Y40+Z40)/AA40</f>
        <v>0.56370056497175136</v>
      </c>
      <c r="AE40" s="37">
        <f t="shared" ref="AE40" si="15">AD40*V40</f>
        <v>1290610.0450529661</v>
      </c>
      <c r="AF40" s="32">
        <v>2947</v>
      </c>
      <c r="AG40" s="39">
        <f>AE40/AF40</f>
        <v>437.9402935368056</v>
      </c>
      <c r="AK40" s="40" t="s">
        <v>23</v>
      </c>
      <c r="AL40" s="133">
        <v>2233689</v>
      </c>
      <c r="AM40" s="29">
        <v>0</v>
      </c>
      <c r="AN40" s="41">
        <f>AL40-AM40</f>
        <v>2233689</v>
      </c>
      <c r="AO40" s="42">
        <v>3089</v>
      </c>
      <c r="AP40" s="43">
        <v>541</v>
      </c>
      <c r="AQ40" s="32">
        <f>353+150</f>
        <v>503</v>
      </c>
      <c r="AR40" s="32">
        <v>2750</v>
      </c>
      <c r="AS40" s="33">
        <f>SUM(AO40:AR40)</f>
        <v>6883</v>
      </c>
      <c r="AT40" s="34">
        <f t="shared" ref="AT40" si="16">AO40/AS40</f>
        <v>0.44878686619206742</v>
      </c>
      <c r="AU40" s="35">
        <f t="shared" ref="AU40" si="17">AN40*AT40</f>
        <v>1002450.2863576929</v>
      </c>
      <c r="AV40" s="36">
        <f t="shared" ref="AV40" si="18">(AP40+AQ40+AR40)/AS40</f>
        <v>0.55121313380793258</v>
      </c>
      <c r="AW40" s="37">
        <f t="shared" ref="AW40" si="19">AV40*AN40</f>
        <v>1231238.7136423071</v>
      </c>
      <c r="AX40" s="32">
        <v>2750</v>
      </c>
      <c r="AY40" s="39">
        <f>AW40/AX40</f>
        <v>447.72316859720257</v>
      </c>
      <c r="BC40" s="137" t="s">
        <v>23</v>
      </c>
      <c r="BD40" s="133">
        <f t="shared" ref="BD40:BD45" si="20">+B40</f>
        <v>2289531.2250000001</v>
      </c>
      <c r="BE40" s="29">
        <v>0</v>
      </c>
      <c r="BF40" s="138">
        <f>BD40-BE40</f>
        <v>2289531.2250000001</v>
      </c>
      <c r="BG40" s="42">
        <v>3089</v>
      </c>
      <c r="BH40" s="43">
        <v>541</v>
      </c>
      <c r="BI40" s="32">
        <f t="shared" ref="BI40:BI45" si="21">+G40</f>
        <v>633</v>
      </c>
      <c r="BJ40" s="32">
        <f>+BK40-BI40-BH40-BG40</f>
        <v>6605</v>
      </c>
      <c r="BK40" s="33">
        <v>10868</v>
      </c>
      <c r="BL40" s="34">
        <f t="shared" ref="BL40" si="22">BG40/BK40</f>
        <v>0.28422892896577107</v>
      </c>
      <c r="BM40" s="35">
        <f t="shared" ref="BM40" si="23">BF40*BL40</f>
        <v>650751.00791543978</v>
      </c>
      <c r="BN40" s="36">
        <f t="shared" ref="BN40" si="24">(BH40+BI40+BJ40)/BK40</f>
        <v>0.71577107103422888</v>
      </c>
      <c r="BO40" s="37">
        <f t="shared" ref="BO40" si="25">BN40*BF40</f>
        <v>1638780.2170845601</v>
      </c>
      <c r="BP40" s="32">
        <f>+BJ40</f>
        <v>6605</v>
      </c>
      <c r="BQ40" s="39">
        <f>BO40/BP40</f>
        <v>248.11206920281001</v>
      </c>
    </row>
    <row r="41" spans="1:69" ht="28.5" x14ac:dyDescent="0.25">
      <c r="A41" s="40" t="s">
        <v>24</v>
      </c>
      <c r="B41" s="133"/>
      <c r="C41" s="44"/>
      <c r="D41" s="45"/>
      <c r="E41" s="46"/>
      <c r="F41" s="47"/>
      <c r="G41" s="47"/>
      <c r="H41" s="47"/>
      <c r="I41" s="48"/>
      <c r="J41" s="49"/>
      <c r="K41" s="50"/>
      <c r="L41" s="51"/>
      <c r="M41" s="52"/>
      <c r="N41" s="53"/>
      <c r="O41" s="54"/>
      <c r="S41" s="40" t="s">
        <v>24</v>
      </c>
      <c r="T41" s="44"/>
      <c r="U41" s="44"/>
      <c r="V41" s="45"/>
      <c r="W41" s="46"/>
      <c r="X41" s="47"/>
      <c r="Y41" s="47"/>
      <c r="Z41" s="47"/>
      <c r="AA41" s="139"/>
      <c r="AB41" s="49"/>
      <c r="AC41" s="50"/>
      <c r="AD41" s="51"/>
      <c r="AE41" s="52"/>
      <c r="AF41" s="53"/>
      <c r="AG41" s="54"/>
      <c r="AK41" s="40" t="s">
        <v>24</v>
      </c>
      <c r="AL41" s="44"/>
      <c r="AM41" s="44"/>
      <c r="AN41" s="45"/>
      <c r="AO41" s="46"/>
      <c r="AP41" s="47"/>
      <c r="AQ41" s="47"/>
      <c r="AR41" s="47"/>
      <c r="AS41" s="48"/>
      <c r="AT41" s="49"/>
      <c r="AU41" s="50"/>
      <c r="AV41" s="51"/>
      <c r="AW41" s="52"/>
      <c r="AX41" s="53"/>
      <c r="AY41" s="54"/>
      <c r="BC41" s="137" t="s">
        <v>24</v>
      </c>
      <c r="BD41" s="133">
        <f t="shared" si="20"/>
        <v>0</v>
      </c>
      <c r="BE41" s="44"/>
      <c r="BF41" s="140"/>
      <c r="BG41" s="46"/>
      <c r="BH41" s="47"/>
      <c r="BI41" s="47"/>
      <c r="BJ41" s="47"/>
      <c r="BK41" s="48"/>
      <c r="BL41" s="49"/>
      <c r="BM41" s="50"/>
      <c r="BN41" s="51"/>
      <c r="BO41" s="52"/>
      <c r="BP41" s="53"/>
      <c r="BQ41" s="54"/>
    </row>
    <row r="42" spans="1:69" x14ac:dyDescent="0.25">
      <c r="A42" s="55" t="s">
        <v>25</v>
      </c>
      <c r="B42" s="133">
        <f>2624432.42+55382.74+194180.84</f>
        <v>2873996</v>
      </c>
      <c r="C42" s="29">
        <v>0</v>
      </c>
      <c r="D42" s="41">
        <f t="shared" ref="D42:D44" si="26">B42-C42</f>
        <v>2873996</v>
      </c>
      <c r="E42" s="42">
        <v>3089</v>
      </c>
      <c r="F42" s="43">
        <v>541</v>
      </c>
      <c r="G42" s="32">
        <f>+'Revised projections 2018'!$K$18</f>
        <v>633</v>
      </c>
      <c r="H42" s="392">
        <v>4962</v>
      </c>
      <c r="I42" s="33">
        <f t="shared" ref="I42:I44" si="27">SUM(E42:H42)</f>
        <v>9225</v>
      </c>
      <c r="J42" s="34">
        <f t="shared" ref="J42:J43" si="28">E42/I42</f>
        <v>0.3348509485094851</v>
      </c>
      <c r="K42" s="35">
        <f t="shared" ref="K42:K43" si="29">D42*J42</f>
        <v>962360.28661246609</v>
      </c>
      <c r="L42" s="36">
        <f t="shared" ref="L42:L43" si="30">(F42+G42+H42)/I42</f>
        <v>0.66514905149051495</v>
      </c>
      <c r="M42" s="37">
        <f t="shared" ref="M42:M43" si="31">L42*D42</f>
        <v>1911635.713387534</v>
      </c>
      <c r="N42" s="32">
        <f>+H42</f>
        <v>4962</v>
      </c>
      <c r="O42" s="39">
        <f t="shared" ref="O42:O43" si="32">M42/N42</f>
        <v>385.25508129535149</v>
      </c>
      <c r="S42" s="55" t="s">
        <v>25</v>
      </c>
      <c r="T42" s="133">
        <f t="shared" ref="T42:T45" si="33">+B42</f>
        <v>2873996</v>
      </c>
      <c r="U42" s="29">
        <v>0</v>
      </c>
      <c r="V42" s="41">
        <f t="shared" ref="V42:V44" si="34">T42-U42</f>
        <v>2873996</v>
      </c>
      <c r="W42" s="42">
        <v>3089</v>
      </c>
      <c r="X42" s="43">
        <v>541</v>
      </c>
      <c r="Y42" s="32">
        <f t="shared" ref="Y42:Y45" si="35">353+150</f>
        <v>503</v>
      </c>
      <c r="Z42" s="32">
        <v>2947</v>
      </c>
      <c r="AA42" s="134">
        <f t="shared" ref="AA42:AA44" si="36">SUM(W42:Z42)</f>
        <v>7080</v>
      </c>
      <c r="AB42" s="34">
        <f t="shared" ref="AB42:AB43" si="37">W42/AA42</f>
        <v>0.43629943502824858</v>
      </c>
      <c r="AC42" s="35">
        <f t="shared" ref="AC42:AC43" si="38">V42*AB42</f>
        <v>1253922.8310734462</v>
      </c>
      <c r="AD42" s="36">
        <f t="shared" ref="AD42:AD43" si="39">(X42+Y42+Z42)/AA42</f>
        <v>0.56370056497175136</v>
      </c>
      <c r="AE42" s="37">
        <f t="shared" ref="AE42:AE43" si="40">AD42*V42</f>
        <v>1620073.1689265536</v>
      </c>
      <c r="AF42" s="32">
        <v>2947</v>
      </c>
      <c r="AG42" s="39">
        <f t="shared" ref="AG42:AG43" si="41">AE42/AF42</f>
        <v>549.73639936428697</v>
      </c>
      <c r="AK42" s="55" t="s">
        <v>25</v>
      </c>
      <c r="AL42" s="133">
        <f>+T42</f>
        <v>2873996</v>
      </c>
      <c r="AM42" s="29">
        <v>0</v>
      </c>
      <c r="AN42" s="41">
        <f t="shared" ref="AN42:AN44" si="42">AL42-AM42</f>
        <v>2873996</v>
      </c>
      <c r="AO42" s="42">
        <v>3089</v>
      </c>
      <c r="AP42" s="43">
        <v>541</v>
      </c>
      <c r="AQ42" s="32">
        <f t="shared" ref="AQ42:AQ45" si="43">353+150</f>
        <v>503</v>
      </c>
      <c r="AR42" s="32">
        <v>2750</v>
      </c>
      <c r="AS42" s="33">
        <f t="shared" ref="AS42:AS44" si="44">SUM(AO42:AR42)</f>
        <v>6883</v>
      </c>
      <c r="AT42" s="34">
        <f t="shared" ref="AT42:AT43" si="45">AO42/AS42</f>
        <v>0.44878686619206742</v>
      </c>
      <c r="AU42" s="35">
        <f t="shared" ref="AU42:AU43" si="46">AN42*AT42</f>
        <v>1289811.6582885371</v>
      </c>
      <c r="AV42" s="36">
        <f t="shared" ref="AV42:AV43" si="47">(AP42+AQ42+AR42)/AS42</f>
        <v>0.55121313380793258</v>
      </c>
      <c r="AW42" s="37">
        <f t="shared" ref="AW42:AW43" si="48">AV42*AN42</f>
        <v>1584184.3417114629</v>
      </c>
      <c r="AX42" s="32">
        <v>2750</v>
      </c>
      <c r="AY42" s="39">
        <f t="shared" ref="AY42:AY43" si="49">AW42/AX42</f>
        <v>576.06703334962287</v>
      </c>
      <c r="BC42" s="141" t="s">
        <v>25</v>
      </c>
      <c r="BD42" s="133">
        <f t="shared" si="20"/>
        <v>2873996</v>
      </c>
      <c r="BE42" s="29">
        <v>0</v>
      </c>
      <c r="BF42" s="138">
        <f t="shared" ref="BF42:BF44" si="50">BD42-BE42</f>
        <v>2873996</v>
      </c>
      <c r="BG42" s="42">
        <v>3089</v>
      </c>
      <c r="BH42" s="43">
        <v>541</v>
      </c>
      <c r="BI42" s="32">
        <f t="shared" si="21"/>
        <v>633</v>
      </c>
      <c r="BJ42" s="32">
        <f t="shared" ref="BJ42:BJ45" si="51">+BK42-BI42-BH42-BG42</f>
        <v>6605</v>
      </c>
      <c r="BK42" s="33">
        <v>10868</v>
      </c>
      <c r="BL42" s="34">
        <f t="shared" ref="BL42:BL43" si="52">BG42/BK42</f>
        <v>0.28422892896577107</v>
      </c>
      <c r="BM42" s="35">
        <f t="shared" ref="BM42:BM43" si="53">BF42*BL42</f>
        <v>816872.80493191013</v>
      </c>
      <c r="BN42" s="36">
        <f t="shared" ref="BN42:BN43" si="54">(BH42+BI42+BJ42)/BK42</f>
        <v>0.71577107103422888</v>
      </c>
      <c r="BO42" s="37">
        <f t="shared" ref="BO42:BO43" si="55">BN42*BF42</f>
        <v>2057123.1950680898</v>
      </c>
      <c r="BP42" s="32">
        <f t="shared" ref="BP42:BP45" si="56">+BJ42</f>
        <v>6605</v>
      </c>
      <c r="BQ42" s="39">
        <f t="shared" ref="BQ42:BQ43" si="57">BO42/BP42</f>
        <v>311.44938608146703</v>
      </c>
    </row>
    <row r="43" spans="1:69" x14ac:dyDescent="0.25">
      <c r="A43" s="55" t="s">
        <v>26</v>
      </c>
      <c r="B43" s="133">
        <v>5308188</v>
      </c>
      <c r="C43" s="29">
        <v>975000</v>
      </c>
      <c r="D43" s="41">
        <f t="shared" si="26"/>
        <v>4333188</v>
      </c>
      <c r="E43" s="42">
        <v>3089</v>
      </c>
      <c r="F43" s="43">
        <v>541</v>
      </c>
      <c r="G43" s="32">
        <f>+'Revised projections 2018'!$K$18</f>
        <v>633</v>
      </c>
      <c r="H43" s="392">
        <v>4962</v>
      </c>
      <c r="I43" s="33">
        <f t="shared" si="27"/>
        <v>9225</v>
      </c>
      <c r="J43" s="34">
        <f t="shared" si="28"/>
        <v>0.3348509485094851</v>
      </c>
      <c r="K43" s="35">
        <f t="shared" si="29"/>
        <v>1450972.1118699186</v>
      </c>
      <c r="L43" s="36">
        <f t="shared" si="30"/>
        <v>0.66514905149051495</v>
      </c>
      <c r="M43" s="37">
        <f t="shared" si="31"/>
        <v>2882215.8881300814</v>
      </c>
      <c r="N43" s="32">
        <f>+H43</f>
        <v>4962</v>
      </c>
      <c r="O43" s="39">
        <f t="shared" si="32"/>
        <v>580.85769611650164</v>
      </c>
      <c r="S43" s="55" t="s">
        <v>26</v>
      </c>
      <c r="T43" s="133">
        <f t="shared" si="33"/>
        <v>5308188</v>
      </c>
      <c r="U43" s="29">
        <v>975000</v>
      </c>
      <c r="V43" s="41">
        <f t="shared" si="34"/>
        <v>4333188</v>
      </c>
      <c r="W43" s="42">
        <v>3089</v>
      </c>
      <c r="X43" s="43">
        <v>541</v>
      </c>
      <c r="Y43" s="32">
        <f t="shared" si="35"/>
        <v>503</v>
      </c>
      <c r="Z43" s="32">
        <v>2947</v>
      </c>
      <c r="AA43" s="134">
        <f t="shared" si="36"/>
        <v>7080</v>
      </c>
      <c r="AB43" s="34">
        <f t="shared" si="37"/>
        <v>0.43629943502824858</v>
      </c>
      <c r="AC43" s="35">
        <f t="shared" si="38"/>
        <v>1890567.4762711865</v>
      </c>
      <c r="AD43" s="36">
        <f t="shared" si="39"/>
        <v>0.56370056497175136</v>
      </c>
      <c r="AE43" s="37">
        <f t="shared" si="40"/>
        <v>2442620.5237288135</v>
      </c>
      <c r="AF43" s="32">
        <v>2947</v>
      </c>
      <c r="AG43" s="39">
        <f t="shared" si="41"/>
        <v>828.84985535419526</v>
      </c>
      <c r="AK43" s="55" t="s">
        <v>26</v>
      </c>
      <c r="AL43" s="133">
        <v>5508547</v>
      </c>
      <c r="AM43" s="29">
        <v>975000</v>
      </c>
      <c r="AN43" s="41">
        <f t="shared" si="42"/>
        <v>4533547</v>
      </c>
      <c r="AO43" s="42">
        <v>3089</v>
      </c>
      <c r="AP43" s="43">
        <v>541</v>
      </c>
      <c r="AQ43" s="32">
        <f t="shared" si="43"/>
        <v>503</v>
      </c>
      <c r="AR43" s="32">
        <v>2750</v>
      </c>
      <c r="AS43" s="33">
        <f t="shared" si="44"/>
        <v>6883</v>
      </c>
      <c r="AT43" s="34">
        <f t="shared" si="45"/>
        <v>0.44878686619206742</v>
      </c>
      <c r="AU43" s="35">
        <f t="shared" si="46"/>
        <v>2034596.3508644486</v>
      </c>
      <c r="AV43" s="36">
        <f t="shared" si="47"/>
        <v>0.55121313380793258</v>
      </c>
      <c r="AW43" s="37">
        <f t="shared" si="48"/>
        <v>2498950.6491355514</v>
      </c>
      <c r="AX43" s="32">
        <v>2750</v>
      </c>
      <c r="AY43" s="39">
        <f t="shared" si="49"/>
        <v>908.70932695838235</v>
      </c>
      <c r="BC43" s="141" t="s">
        <v>26</v>
      </c>
      <c r="BD43" s="133">
        <f t="shared" si="20"/>
        <v>5308188</v>
      </c>
      <c r="BE43" s="29">
        <v>975000</v>
      </c>
      <c r="BF43" s="138">
        <f t="shared" si="50"/>
        <v>4333188</v>
      </c>
      <c r="BG43" s="42">
        <v>3089</v>
      </c>
      <c r="BH43" s="43">
        <v>541</v>
      </c>
      <c r="BI43" s="32">
        <f t="shared" si="21"/>
        <v>633</v>
      </c>
      <c r="BJ43" s="32">
        <f t="shared" si="51"/>
        <v>6605</v>
      </c>
      <c r="BK43" s="33">
        <v>10868</v>
      </c>
      <c r="BL43" s="34">
        <f t="shared" si="52"/>
        <v>0.28422892896577107</v>
      </c>
      <c r="BM43" s="35">
        <f t="shared" si="53"/>
        <v>1231617.3842473316</v>
      </c>
      <c r="BN43" s="36">
        <f t="shared" si="54"/>
        <v>0.71577107103422888</v>
      </c>
      <c r="BO43" s="37">
        <f t="shared" si="55"/>
        <v>3101570.6157526681</v>
      </c>
      <c r="BP43" s="32">
        <f t="shared" si="56"/>
        <v>6605</v>
      </c>
      <c r="BQ43" s="39">
        <f t="shared" si="57"/>
        <v>469.57919996255384</v>
      </c>
    </row>
    <row r="44" spans="1:69" x14ac:dyDescent="0.25">
      <c r="A44" s="55" t="s">
        <v>27</v>
      </c>
      <c r="B44" s="133">
        <v>3039028</v>
      </c>
      <c r="C44" s="29">
        <v>770333</v>
      </c>
      <c r="D44" s="41">
        <f t="shared" si="26"/>
        <v>2268695</v>
      </c>
      <c r="E44" s="42">
        <v>3089</v>
      </c>
      <c r="F44" s="43">
        <v>541</v>
      </c>
      <c r="G44" s="32">
        <f>+'Revised projections 2018'!$K$18</f>
        <v>633</v>
      </c>
      <c r="H44" s="392">
        <v>4962</v>
      </c>
      <c r="I44" s="33">
        <f t="shared" si="27"/>
        <v>9225</v>
      </c>
      <c r="J44" s="56" t="s">
        <v>28</v>
      </c>
      <c r="K44" s="35">
        <f>D44-M44</f>
        <v>830546</v>
      </c>
      <c r="L44" s="36" t="s">
        <v>29</v>
      </c>
      <c r="M44" s="37">
        <v>1438149</v>
      </c>
      <c r="N44" s="32">
        <f>+H44</f>
        <v>4962</v>
      </c>
      <c r="O44" s="39">
        <f>M44/N44</f>
        <v>289.83252720677149</v>
      </c>
      <c r="S44" s="55" t="s">
        <v>27</v>
      </c>
      <c r="T44" s="133">
        <f t="shared" si="33"/>
        <v>3039028</v>
      </c>
      <c r="U44" s="29">
        <v>770333</v>
      </c>
      <c r="V44" s="41">
        <f t="shared" si="34"/>
        <v>2268695</v>
      </c>
      <c r="W44" s="42">
        <v>3089</v>
      </c>
      <c r="X44" s="43">
        <v>541</v>
      </c>
      <c r="Y44" s="32">
        <f t="shared" si="35"/>
        <v>503</v>
      </c>
      <c r="Z44" s="32">
        <v>2947</v>
      </c>
      <c r="AA44" s="134">
        <f t="shared" si="36"/>
        <v>7080</v>
      </c>
      <c r="AB44" s="56" t="s">
        <v>28</v>
      </c>
      <c r="AC44" s="35">
        <f>1961851-U44</f>
        <v>1191518</v>
      </c>
      <c r="AD44" s="36" t="s">
        <v>29</v>
      </c>
      <c r="AE44" s="37">
        <v>1438149</v>
      </c>
      <c r="AF44" s="32">
        <v>2947</v>
      </c>
      <c r="AG44" s="39">
        <f>AE44/AF44</f>
        <v>488.00441126569393</v>
      </c>
      <c r="AK44" s="55" t="s">
        <v>27</v>
      </c>
      <c r="AL44" s="133">
        <v>3400000</v>
      </c>
      <c r="AM44" s="29">
        <v>770333</v>
      </c>
      <c r="AN44" s="41">
        <f t="shared" si="42"/>
        <v>2629667</v>
      </c>
      <c r="AO44" s="42">
        <v>3089</v>
      </c>
      <c r="AP44" s="43">
        <v>541</v>
      </c>
      <c r="AQ44" s="32">
        <f t="shared" si="43"/>
        <v>503</v>
      </c>
      <c r="AR44" s="32">
        <v>2750</v>
      </c>
      <c r="AS44" s="33">
        <f t="shared" si="44"/>
        <v>6883</v>
      </c>
      <c r="AT44" s="56" t="s">
        <v>28</v>
      </c>
      <c r="AU44" s="35">
        <f>1961851-AM44</f>
        <v>1191518</v>
      </c>
      <c r="AV44" s="36" t="s">
        <v>29</v>
      </c>
      <c r="AW44" s="37">
        <v>1438149</v>
      </c>
      <c r="AX44" s="32">
        <v>2750</v>
      </c>
      <c r="AY44" s="39">
        <f>AW44/AX44</f>
        <v>522.96327272727274</v>
      </c>
      <c r="BC44" s="141" t="s">
        <v>27</v>
      </c>
      <c r="BD44" s="133">
        <f t="shared" si="20"/>
        <v>3039028</v>
      </c>
      <c r="BE44" s="29">
        <v>770333</v>
      </c>
      <c r="BF44" s="138">
        <f t="shared" si="50"/>
        <v>2268695</v>
      </c>
      <c r="BG44" s="42">
        <v>3089</v>
      </c>
      <c r="BH44" s="43">
        <v>541</v>
      </c>
      <c r="BI44" s="32">
        <f t="shared" si="21"/>
        <v>633</v>
      </c>
      <c r="BJ44" s="32">
        <f t="shared" si="51"/>
        <v>6605</v>
      </c>
      <c r="BK44" s="33">
        <v>10868</v>
      </c>
      <c r="BL44" s="56" t="s">
        <v>28</v>
      </c>
      <c r="BM44" s="35">
        <f>BF44-BO44</f>
        <v>830546</v>
      </c>
      <c r="BN44" s="36" t="s">
        <v>29</v>
      </c>
      <c r="BO44" s="37">
        <v>1438149</v>
      </c>
      <c r="BP44" s="32">
        <f t="shared" si="56"/>
        <v>6605</v>
      </c>
      <c r="BQ44" s="39">
        <f>BO44/BP44</f>
        <v>217.73641180923542</v>
      </c>
    </row>
    <row r="45" spans="1:69" x14ac:dyDescent="0.25">
      <c r="A45" s="55" t="s">
        <v>30</v>
      </c>
      <c r="B45" s="133">
        <v>6400000</v>
      </c>
      <c r="C45" s="29">
        <v>0</v>
      </c>
      <c r="D45" s="41">
        <f>B45-C45</f>
        <v>6400000</v>
      </c>
      <c r="E45" s="42">
        <v>3089</v>
      </c>
      <c r="F45" s="43">
        <v>541</v>
      </c>
      <c r="G45" s="32">
        <f>+'Revised projections 2018'!$K$18</f>
        <v>633</v>
      </c>
      <c r="H45" s="392">
        <v>4962</v>
      </c>
      <c r="I45" s="33">
        <f>SUM(E45:H45)</f>
        <v>9225</v>
      </c>
      <c r="J45" s="34">
        <f t="shared" ref="J45" si="58">E45/I45</f>
        <v>0.3348509485094851</v>
      </c>
      <c r="K45" s="35">
        <f t="shared" ref="K45" si="59">D45*J45</f>
        <v>2143046.0704607046</v>
      </c>
      <c r="L45" s="36">
        <f t="shared" ref="L45" si="60">(F45+G45+H45)/I45</f>
        <v>0.66514905149051495</v>
      </c>
      <c r="M45" s="37">
        <f t="shared" ref="M45" si="61">L45*D45</f>
        <v>4256953.9295392958</v>
      </c>
      <c r="N45" s="32">
        <f>+H45</f>
        <v>4962</v>
      </c>
      <c r="O45" s="39">
        <f>M45/N45</f>
        <v>857.91090881485206</v>
      </c>
      <c r="S45" s="55" t="s">
        <v>30</v>
      </c>
      <c r="T45" s="133">
        <f t="shared" si="33"/>
        <v>6400000</v>
      </c>
      <c r="U45" s="29">
        <v>0</v>
      </c>
      <c r="V45" s="41">
        <f>T45-U45</f>
        <v>6400000</v>
      </c>
      <c r="W45" s="42">
        <v>3089</v>
      </c>
      <c r="X45" s="43">
        <v>541</v>
      </c>
      <c r="Y45" s="32">
        <f t="shared" si="35"/>
        <v>503</v>
      </c>
      <c r="Z45" s="32">
        <v>2947</v>
      </c>
      <c r="AA45" s="134">
        <f>SUM(W45:Z45)</f>
        <v>7080</v>
      </c>
      <c r="AB45" s="34">
        <f t="shared" ref="AB45" si="62">W45/AA45</f>
        <v>0.43629943502824858</v>
      </c>
      <c r="AC45" s="35">
        <f t="shared" ref="AC45" si="63">V45*AB45</f>
        <v>2792316.3841807907</v>
      </c>
      <c r="AD45" s="36">
        <f t="shared" ref="AD45" si="64">(X45+Y45+Z45)/AA45</f>
        <v>0.56370056497175136</v>
      </c>
      <c r="AE45" s="37">
        <f t="shared" ref="AE45" si="65">AD45*V45</f>
        <v>3607683.6158192088</v>
      </c>
      <c r="AF45" s="32">
        <v>2947</v>
      </c>
      <c r="AG45" s="39">
        <f>AE45/AF45</f>
        <v>1224.1885360770984</v>
      </c>
      <c r="AK45" s="55" t="s">
        <v>30</v>
      </c>
      <c r="AL45" s="133">
        <v>5760000</v>
      </c>
      <c r="AM45" s="29">
        <v>0</v>
      </c>
      <c r="AN45" s="41">
        <f>AL45-AM45</f>
        <v>5760000</v>
      </c>
      <c r="AO45" s="42">
        <v>3089</v>
      </c>
      <c r="AP45" s="43">
        <v>541</v>
      </c>
      <c r="AQ45" s="32">
        <f t="shared" si="43"/>
        <v>503</v>
      </c>
      <c r="AR45" s="32">
        <v>2750</v>
      </c>
      <c r="AS45" s="33">
        <f>SUM(AO45:AR45)</f>
        <v>6883</v>
      </c>
      <c r="AT45" s="34">
        <f t="shared" ref="AT45" si="66">AO45/AS45</f>
        <v>0.44878686619206742</v>
      </c>
      <c r="AU45" s="35">
        <f t="shared" ref="AU45" si="67">AN45*AT45</f>
        <v>2585012.3492663084</v>
      </c>
      <c r="AV45" s="36">
        <f t="shared" ref="AV45" si="68">(AP45+AQ45+AR45)/AS45</f>
        <v>0.55121313380793258</v>
      </c>
      <c r="AW45" s="37">
        <f t="shared" ref="AW45" si="69">AV45*AN45</f>
        <v>3174987.6507336916</v>
      </c>
      <c r="AX45" s="32">
        <v>2750</v>
      </c>
      <c r="AY45" s="39">
        <f>AW45/AX45</f>
        <v>1154.5409639031607</v>
      </c>
      <c r="BC45" s="141" t="s">
        <v>30</v>
      </c>
      <c r="BD45" s="133">
        <f t="shared" si="20"/>
        <v>6400000</v>
      </c>
      <c r="BE45" s="29">
        <v>0</v>
      </c>
      <c r="BF45" s="138">
        <f>BD45-BE45</f>
        <v>6400000</v>
      </c>
      <c r="BG45" s="42">
        <v>3089</v>
      </c>
      <c r="BH45" s="43">
        <v>541</v>
      </c>
      <c r="BI45" s="32">
        <f t="shared" si="21"/>
        <v>633</v>
      </c>
      <c r="BJ45" s="32">
        <f t="shared" si="51"/>
        <v>6605</v>
      </c>
      <c r="BK45" s="33">
        <v>10868</v>
      </c>
      <c r="BL45" s="34">
        <f t="shared" ref="BL45" si="70">BG45/BK45</f>
        <v>0.28422892896577107</v>
      </c>
      <c r="BM45" s="35">
        <f t="shared" ref="BM45" si="71">BF45*BL45</f>
        <v>1819065.1453809349</v>
      </c>
      <c r="BN45" s="36">
        <f t="shared" ref="BN45" si="72">(BH45+BI45+BJ45)/BK45</f>
        <v>0.71577107103422888</v>
      </c>
      <c r="BO45" s="37">
        <f t="shared" ref="BO45" si="73">BN45*BF45</f>
        <v>4580934.8546190644</v>
      </c>
      <c r="BP45" s="32">
        <f t="shared" si="56"/>
        <v>6605</v>
      </c>
      <c r="BQ45" s="39">
        <f>BO45/BP45</f>
        <v>693.55561765617927</v>
      </c>
    </row>
    <row r="46" spans="1:69" x14ac:dyDescent="0.25">
      <c r="A46" s="57" t="s">
        <v>31</v>
      </c>
      <c r="B46" s="58">
        <f>SUM(B39:B45)</f>
        <v>27871906.225000001</v>
      </c>
      <c r="C46" s="58">
        <f>SUM(C39:C45)</f>
        <v>2245333</v>
      </c>
      <c r="D46" s="59">
        <f>SUM(D39:D45)</f>
        <v>25626573.225000001</v>
      </c>
      <c r="E46" s="60"/>
      <c r="F46" s="61"/>
      <c r="G46" s="61"/>
      <c r="H46" s="61"/>
      <c r="I46" s="62"/>
      <c r="J46" s="63"/>
      <c r="K46" s="58">
        <f>SUM(K39:K45)</f>
        <v>8651953.6788102984</v>
      </c>
      <c r="L46" s="64"/>
      <c r="M46" s="58">
        <f>SUM(M39:M45)</f>
        <v>16974619.546189703</v>
      </c>
      <c r="N46" s="65"/>
      <c r="O46" s="66">
        <f>SUM(O39:O45)</f>
        <v>3420.9229234562076</v>
      </c>
      <c r="S46" s="57" t="s">
        <v>31</v>
      </c>
      <c r="T46" s="58">
        <f>SUM(T39:T45)</f>
        <v>27871906.225000001</v>
      </c>
      <c r="U46" s="58">
        <f>SUM(U39:U45)</f>
        <v>2245333</v>
      </c>
      <c r="V46" s="59">
        <f>SUM(V39:V45)</f>
        <v>25626573.225000001</v>
      </c>
      <c r="W46" s="60"/>
      <c r="X46" s="61"/>
      <c r="Y46" s="61"/>
      <c r="Z46" s="61"/>
      <c r="AA46" s="142"/>
      <c r="AB46" s="63"/>
      <c r="AC46" s="58">
        <f>SUM(AC39:AC45)</f>
        <v>11382547.073026128</v>
      </c>
      <c r="AD46" s="64"/>
      <c r="AE46" s="58">
        <f>SUM(AE39:AE45)</f>
        <v>14604998.15197387</v>
      </c>
      <c r="AF46" s="65"/>
      <c r="AG46" s="66">
        <f>SUM(AG39:AG45)</f>
        <v>4955.8867159734882</v>
      </c>
      <c r="AK46" s="57" t="s">
        <v>31</v>
      </c>
      <c r="AL46" s="58">
        <f>SUM(AL39:AL45)</f>
        <v>27737395</v>
      </c>
      <c r="AM46" s="58">
        <f>SUM(AM39:AM45)</f>
        <v>2245333</v>
      </c>
      <c r="AN46" s="59">
        <f>SUM(AN39:AN45)</f>
        <v>25492062</v>
      </c>
      <c r="AO46" s="60"/>
      <c r="AP46" s="61"/>
      <c r="AQ46" s="61"/>
      <c r="AR46" s="61"/>
      <c r="AS46" s="62"/>
      <c r="AT46" s="63"/>
      <c r="AU46" s="58">
        <f>SUM(AU39:AU45)</f>
        <v>11451860.605695192</v>
      </c>
      <c r="AV46" s="64"/>
      <c r="AW46" s="58">
        <f>SUM(AW39:AW45)</f>
        <v>14040201.394304808</v>
      </c>
      <c r="AX46" s="65"/>
      <c r="AY46" s="66">
        <f>SUM(AY39:AY45)</f>
        <v>5105.5277797472036</v>
      </c>
      <c r="BC46" s="143" t="s">
        <v>31</v>
      </c>
      <c r="BD46" s="58">
        <f>SUM(BD39:BD45)</f>
        <v>27871906.225000001</v>
      </c>
      <c r="BE46" s="58">
        <f>SUM(BE39:BE45)</f>
        <v>2245333</v>
      </c>
      <c r="BF46" s="144">
        <f>SUM(BF39:BF45)</f>
        <v>25626573.225000001</v>
      </c>
      <c r="BG46" s="60"/>
      <c r="BH46" s="61"/>
      <c r="BI46" s="61"/>
      <c r="BJ46" s="61"/>
      <c r="BK46" s="62"/>
      <c r="BL46" s="63"/>
      <c r="BM46" s="58">
        <f>SUM(BM39:BM45)</f>
        <v>7469530.7108046552</v>
      </c>
      <c r="BN46" s="64"/>
      <c r="BO46" s="58">
        <f>SUM(BO39:BO45)</f>
        <v>18157042.514195342</v>
      </c>
      <c r="BP46" s="65"/>
      <c r="BQ46" s="66">
        <f>SUM(BQ39:BQ45)</f>
        <v>2748.9844836026259</v>
      </c>
    </row>
    <row r="47" spans="1:69" x14ac:dyDescent="0.25">
      <c r="B47" s="68"/>
      <c r="C47" s="68"/>
      <c r="D47" s="68"/>
      <c r="E47" s="69"/>
      <c r="F47" s="68"/>
      <c r="G47" s="68"/>
      <c r="H47" s="68"/>
      <c r="I47" s="70"/>
      <c r="J47" s="69"/>
      <c r="K47" s="68"/>
      <c r="L47" s="68"/>
      <c r="M47" s="68"/>
      <c r="N47" s="68"/>
      <c r="O47" s="70"/>
      <c r="T47" s="68"/>
      <c r="U47" s="68"/>
      <c r="V47" s="68"/>
      <c r="W47" s="69"/>
      <c r="X47" s="68"/>
      <c r="Y47" s="68"/>
      <c r="Z47" s="68"/>
      <c r="AA47" s="68"/>
      <c r="AB47" s="69"/>
      <c r="AC47" s="68"/>
      <c r="AD47" s="68"/>
      <c r="AE47" s="68"/>
      <c r="AF47" s="68"/>
      <c r="AG47" s="70"/>
      <c r="AL47" s="68"/>
      <c r="AM47" s="68"/>
      <c r="AN47" s="68"/>
      <c r="AO47" s="69"/>
      <c r="AP47" s="68"/>
      <c r="AQ47" s="68"/>
      <c r="AR47" s="68"/>
      <c r="AS47" s="70"/>
      <c r="AT47" s="69"/>
      <c r="AU47" s="68"/>
      <c r="AV47" s="68"/>
      <c r="AW47" s="68"/>
      <c r="AX47" s="68"/>
      <c r="AY47" s="70"/>
      <c r="BC47" s="69"/>
      <c r="BD47" s="68"/>
      <c r="BE47" s="68"/>
      <c r="BF47" s="70"/>
      <c r="BG47" s="69"/>
      <c r="BH47" s="68"/>
      <c r="BI47" s="68"/>
      <c r="BJ47" s="68"/>
      <c r="BK47" s="70"/>
      <c r="BL47" s="69"/>
      <c r="BM47" s="68"/>
      <c r="BN47" s="68"/>
      <c r="BO47" s="68"/>
      <c r="BP47" s="68"/>
      <c r="BQ47" s="70"/>
    </row>
    <row r="48" spans="1:69" x14ac:dyDescent="0.25">
      <c r="A48" s="71" t="s">
        <v>32</v>
      </c>
      <c r="B48" s="72"/>
      <c r="C48" s="72"/>
      <c r="D48" s="72"/>
      <c r="E48" s="73"/>
      <c r="F48" s="74"/>
      <c r="G48" s="74"/>
      <c r="H48" s="74"/>
      <c r="I48" s="75"/>
      <c r="J48" s="76"/>
      <c r="K48" s="77"/>
      <c r="L48" s="78"/>
      <c r="M48" s="72"/>
      <c r="N48" s="79"/>
      <c r="O48" s="80"/>
      <c r="S48" s="71" t="s">
        <v>32</v>
      </c>
      <c r="T48" s="72"/>
      <c r="U48" s="72"/>
      <c r="V48" s="72"/>
      <c r="W48" s="73"/>
      <c r="X48" s="74"/>
      <c r="Y48" s="74"/>
      <c r="Z48" s="74"/>
      <c r="AA48" s="74"/>
      <c r="AB48" s="76"/>
      <c r="AC48" s="77"/>
      <c r="AD48" s="78"/>
      <c r="AE48" s="72"/>
      <c r="AF48" s="79"/>
      <c r="AG48" s="80"/>
      <c r="AK48" s="71" t="s">
        <v>32</v>
      </c>
      <c r="AL48" s="72"/>
      <c r="AM48" s="72"/>
      <c r="AN48" s="72"/>
      <c r="AO48" s="73"/>
      <c r="AP48" s="74"/>
      <c r="AQ48" s="74"/>
      <c r="AR48" s="74"/>
      <c r="AS48" s="75"/>
      <c r="AT48" s="76"/>
      <c r="AU48" s="77"/>
      <c r="AV48" s="78"/>
      <c r="AW48" s="72"/>
      <c r="AX48" s="79"/>
      <c r="AY48" s="80"/>
      <c r="BC48" s="145" t="s">
        <v>32</v>
      </c>
      <c r="BD48" s="72"/>
      <c r="BE48" s="72"/>
      <c r="BF48" s="146"/>
      <c r="BG48" s="73"/>
      <c r="BH48" s="74"/>
      <c r="BI48" s="74"/>
      <c r="BJ48" s="74"/>
      <c r="BK48" s="75"/>
      <c r="BL48" s="76"/>
      <c r="BM48" s="77"/>
      <c r="BN48" s="78"/>
      <c r="BO48" s="72"/>
      <c r="BP48" s="79"/>
      <c r="BQ48" s="80"/>
    </row>
    <row r="49" spans="1:69" ht="28.5" x14ac:dyDescent="0.25">
      <c r="A49" s="40" t="s">
        <v>35</v>
      </c>
      <c r="B49" s="29">
        <f>+(8300000*3.305%)*7</f>
        <v>1920205</v>
      </c>
      <c r="C49" s="29">
        <v>0</v>
      </c>
      <c r="D49" s="41">
        <f t="shared" ref="D49:D50" si="74">B49-C49</f>
        <v>1920205</v>
      </c>
      <c r="E49" s="42"/>
      <c r="F49" s="43"/>
      <c r="G49" s="43"/>
      <c r="H49" s="43"/>
      <c r="I49" s="147"/>
      <c r="J49" s="84">
        <v>0</v>
      </c>
      <c r="K49" s="83">
        <v>0</v>
      </c>
      <c r="L49" s="84">
        <v>1</v>
      </c>
      <c r="M49" s="29">
        <f>B49*L49</f>
        <v>1920205</v>
      </c>
      <c r="N49" s="415">
        <v>4962</v>
      </c>
      <c r="O49" s="39">
        <f>M49/N49</f>
        <v>386.98206368399838</v>
      </c>
      <c r="S49" s="40" t="s">
        <v>35</v>
      </c>
      <c r="T49" s="29">
        <f>+(6800000*3.305%)*7</f>
        <v>1573180.0000000002</v>
      </c>
      <c r="U49" s="29">
        <v>0</v>
      </c>
      <c r="V49" s="41">
        <f t="shared" ref="V49:V50" si="75">T49-U49</f>
        <v>1573180.0000000002</v>
      </c>
      <c r="W49" s="42"/>
      <c r="X49" s="43"/>
      <c r="Y49" s="43"/>
      <c r="Z49" s="43"/>
      <c r="AA49" s="147"/>
      <c r="AB49" s="82">
        <v>0</v>
      </c>
      <c r="AC49" s="83">
        <v>0</v>
      </c>
      <c r="AD49" s="84">
        <v>1</v>
      </c>
      <c r="AE49" s="29">
        <f>T49*AD49</f>
        <v>1573180.0000000002</v>
      </c>
      <c r="AF49" s="43">
        <v>2947</v>
      </c>
      <c r="AG49" s="39">
        <f>AE49/AF49</f>
        <v>533.82422802850363</v>
      </c>
      <c r="AK49" s="40" t="s">
        <v>35</v>
      </c>
      <c r="AL49" s="29">
        <f>+(8300000*3.305%)*7</f>
        <v>1920205</v>
      </c>
      <c r="AM49" s="29">
        <v>0</v>
      </c>
      <c r="AN49" s="41">
        <f t="shared" ref="AN49:AN50" si="76">AL49-AM49</f>
        <v>1920205</v>
      </c>
      <c r="AO49" s="42"/>
      <c r="AP49" s="43"/>
      <c r="AQ49" s="43"/>
      <c r="AR49" s="43"/>
      <c r="AS49" s="147"/>
      <c r="AT49" s="84">
        <v>0</v>
      </c>
      <c r="AU49" s="83">
        <v>0</v>
      </c>
      <c r="AV49" s="84">
        <v>1</v>
      </c>
      <c r="AW49" s="29">
        <f>AL49*AV49</f>
        <v>1920205</v>
      </c>
      <c r="AX49" s="43">
        <v>2750</v>
      </c>
      <c r="AY49" s="39">
        <f>AW49/AX49</f>
        <v>698.25636363636363</v>
      </c>
      <c r="BC49" s="137" t="s">
        <v>35</v>
      </c>
      <c r="BD49" s="29">
        <f>+(9300000*3.305%)*13</f>
        <v>3995745</v>
      </c>
      <c r="BE49" s="29">
        <v>0</v>
      </c>
      <c r="BF49" s="138">
        <f t="shared" ref="BF49:BF50" si="77">BD49-BE49</f>
        <v>3995745</v>
      </c>
      <c r="BG49" s="42"/>
      <c r="BH49" s="43"/>
      <c r="BI49" s="43"/>
      <c r="BJ49" s="43"/>
      <c r="BK49" s="147"/>
      <c r="BL49" s="84">
        <v>0</v>
      </c>
      <c r="BM49" s="83">
        <v>0</v>
      </c>
      <c r="BN49" s="84">
        <v>1</v>
      </c>
      <c r="BO49" s="29">
        <f>BD49*BN49</f>
        <v>3995745</v>
      </c>
      <c r="BP49" s="43">
        <v>6605</v>
      </c>
      <c r="BQ49" s="39">
        <f>BO49/BP49</f>
        <v>604.95760787282359</v>
      </c>
    </row>
    <row r="50" spans="1:69" ht="42.75" x14ac:dyDescent="0.25">
      <c r="A50" s="40" t="s">
        <v>45</v>
      </c>
      <c r="B50" s="29">
        <f>70500*7</f>
        <v>493500</v>
      </c>
      <c r="C50" s="29">
        <v>0</v>
      </c>
      <c r="D50" s="41">
        <f t="shared" si="74"/>
        <v>493500</v>
      </c>
      <c r="E50" s="42"/>
      <c r="F50" s="43"/>
      <c r="G50" s="43"/>
      <c r="H50" s="43"/>
      <c r="I50" s="81"/>
      <c r="J50" s="85">
        <v>0</v>
      </c>
      <c r="K50" s="35">
        <v>0</v>
      </c>
      <c r="L50" s="36">
        <v>1</v>
      </c>
      <c r="M50" s="37">
        <f>B50*L50</f>
        <v>493500</v>
      </c>
      <c r="N50" s="392">
        <v>4962</v>
      </c>
      <c r="O50" s="39">
        <f>M50/N50</f>
        <v>99.455864570737603</v>
      </c>
      <c r="S50" s="40" t="s">
        <v>45</v>
      </c>
      <c r="T50" s="29">
        <f>70500*7</f>
        <v>493500</v>
      </c>
      <c r="U50" s="29">
        <v>0</v>
      </c>
      <c r="V50" s="41">
        <f t="shared" si="75"/>
        <v>493500</v>
      </c>
      <c r="W50" s="42"/>
      <c r="X50" s="43"/>
      <c r="Y50" s="43"/>
      <c r="Z50" s="43"/>
      <c r="AA50" s="147"/>
      <c r="AB50" s="85">
        <v>0</v>
      </c>
      <c r="AC50" s="35">
        <v>0</v>
      </c>
      <c r="AD50" s="36">
        <v>1</v>
      </c>
      <c r="AE50" s="37">
        <f>T50*AD50</f>
        <v>493500</v>
      </c>
      <c r="AF50" s="32">
        <v>2947</v>
      </c>
      <c r="AG50" s="39">
        <f>AE50/AF50</f>
        <v>167.45843230403801</v>
      </c>
      <c r="AK50" s="40" t="s">
        <v>45</v>
      </c>
      <c r="AL50" s="29">
        <f>70500*7</f>
        <v>493500</v>
      </c>
      <c r="AM50" s="29">
        <v>0</v>
      </c>
      <c r="AN50" s="41">
        <f t="shared" si="76"/>
        <v>493500</v>
      </c>
      <c r="AO50" s="42"/>
      <c r="AP50" s="43"/>
      <c r="AQ50" s="43"/>
      <c r="AR50" s="43"/>
      <c r="AS50" s="81"/>
      <c r="AT50" s="85">
        <v>0</v>
      </c>
      <c r="AU50" s="35">
        <v>0</v>
      </c>
      <c r="AV50" s="36">
        <v>1</v>
      </c>
      <c r="AW50" s="37">
        <f>AL50*AV50</f>
        <v>493500</v>
      </c>
      <c r="AX50" s="32">
        <v>2750</v>
      </c>
      <c r="AY50" s="39">
        <f>AW50/AX50</f>
        <v>179.45454545454547</v>
      </c>
      <c r="BC50" s="137" t="s">
        <v>45</v>
      </c>
      <c r="BD50" s="29">
        <f>70500*13</f>
        <v>916500</v>
      </c>
      <c r="BE50" s="29">
        <v>0</v>
      </c>
      <c r="BF50" s="138">
        <f t="shared" si="77"/>
        <v>916500</v>
      </c>
      <c r="BG50" s="42"/>
      <c r="BH50" s="43"/>
      <c r="BI50" s="43"/>
      <c r="BJ50" s="43"/>
      <c r="BK50" s="81"/>
      <c r="BL50" s="85">
        <v>0</v>
      </c>
      <c r="BM50" s="35">
        <v>0</v>
      </c>
      <c r="BN50" s="36">
        <v>1</v>
      </c>
      <c r="BO50" s="37">
        <f>BD50*BN50</f>
        <v>916500</v>
      </c>
      <c r="BP50" s="32">
        <v>6605</v>
      </c>
      <c r="BQ50" s="39">
        <f>BO50/BP50</f>
        <v>138.75851627554883</v>
      </c>
    </row>
    <row r="51" spans="1:69" x14ac:dyDescent="0.25">
      <c r="A51" s="57" t="s">
        <v>37</v>
      </c>
      <c r="B51" s="86">
        <f>SUM(B49:B50)</f>
        <v>2413705</v>
      </c>
      <c r="C51" s="86">
        <f>SUM(C49:C50)</f>
        <v>0</v>
      </c>
      <c r="D51" s="87">
        <f>SUM(D49:D50)</f>
        <v>2413705</v>
      </c>
      <c r="E51" s="60"/>
      <c r="F51" s="61"/>
      <c r="G51" s="61"/>
      <c r="H51" s="61"/>
      <c r="I51" s="62"/>
      <c r="J51" s="63"/>
      <c r="K51" s="86">
        <f>SUM(K49:K50)</f>
        <v>0</v>
      </c>
      <c r="L51" s="64"/>
      <c r="M51" s="58">
        <f>SUM(M49:M50)</f>
        <v>2413705</v>
      </c>
      <c r="N51" s="65">
        <v>4962</v>
      </c>
      <c r="O51" s="66">
        <f>SUM(O49:O50)</f>
        <v>486.43792825473599</v>
      </c>
      <c r="S51" s="57" t="s">
        <v>37</v>
      </c>
      <c r="T51" s="86">
        <f>SUM(T49:T50)</f>
        <v>2066680.0000000002</v>
      </c>
      <c r="U51" s="86">
        <f>SUM(U49:U50)</f>
        <v>0</v>
      </c>
      <c r="V51" s="87">
        <f>SUM(V49:V50)</f>
        <v>2066680.0000000002</v>
      </c>
      <c r="W51" s="60"/>
      <c r="X51" s="61"/>
      <c r="Y51" s="61"/>
      <c r="Z51" s="61"/>
      <c r="AA51" s="142"/>
      <c r="AB51" s="63"/>
      <c r="AC51" s="86">
        <f>SUM(AC49:AC50)</f>
        <v>0</v>
      </c>
      <c r="AD51" s="64"/>
      <c r="AE51" s="58">
        <f>SUM(AE49:AE50)</f>
        <v>2066680.0000000002</v>
      </c>
      <c r="AF51" s="65">
        <v>2947</v>
      </c>
      <c r="AG51" s="66">
        <f>SUM(AG49:AG50)</f>
        <v>701.28266033254158</v>
      </c>
      <c r="AK51" s="57" t="s">
        <v>37</v>
      </c>
      <c r="AL51" s="86">
        <f>SUM(AL49:AL50)</f>
        <v>2413705</v>
      </c>
      <c r="AM51" s="86">
        <f>SUM(AM49:AM50)</f>
        <v>0</v>
      </c>
      <c r="AN51" s="87">
        <f>SUM(AN49:AN50)</f>
        <v>2413705</v>
      </c>
      <c r="AO51" s="60"/>
      <c r="AP51" s="61"/>
      <c r="AQ51" s="61"/>
      <c r="AR51" s="61"/>
      <c r="AS51" s="62"/>
      <c r="AT51" s="63"/>
      <c r="AU51" s="86">
        <f>SUM(AU49:AU50)</f>
        <v>0</v>
      </c>
      <c r="AV51" s="64"/>
      <c r="AW51" s="58">
        <f>SUM(AW49:AW50)</f>
        <v>2413705</v>
      </c>
      <c r="AX51" s="65">
        <v>2750</v>
      </c>
      <c r="AY51" s="66">
        <f>SUM(AY49:AY50)</f>
        <v>877.71090909090913</v>
      </c>
      <c r="BC51" s="143" t="s">
        <v>37</v>
      </c>
      <c r="BD51" s="86">
        <f>SUM(BD49:BD50)</f>
        <v>4912245</v>
      </c>
      <c r="BE51" s="86">
        <f>SUM(BE49:BE50)</f>
        <v>0</v>
      </c>
      <c r="BF51" s="148">
        <f>SUM(BF49:BF50)</f>
        <v>4912245</v>
      </c>
      <c r="BG51" s="60"/>
      <c r="BH51" s="61"/>
      <c r="BI51" s="61"/>
      <c r="BJ51" s="61"/>
      <c r="BK51" s="62"/>
      <c r="BL51" s="63"/>
      <c r="BM51" s="86">
        <f>SUM(BM49:BM50)</f>
        <v>0</v>
      </c>
      <c r="BN51" s="64"/>
      <c r="BO51" s="58">
        <f>SUM(BO49:BO50)</f>
        <v>4912245</v>
      </c>
      <c r="BP51" s="65">
        <v>6605</v>
      </c>
      <c r="BQ51" s="66">
        <f>SUM(BQ49:BQ50)</f>
        <v>743.71612414837239</v>
      </c>
    </row>
    <row r="52" spans="1:69" x14ac:dyDescent="0.25">
      <c r="A52" s="88"/>
      <c r="B52" s="89"/>
      <c r="C52" s="89"/>
      <c r="D52" s="89"/>
      <c r="E52" s="90"/>
      <c r="F52" s="91"/>
      <c r="G52" s="91"/>
      <c r="H52" s="91"/>
      <c r="I52" s="92"/>
      <c r="J52" s="93"/>
      <c r="K52" s="89"/>
      <c r="L52" s="94"/>
      <c r="M52" s="95"/>
      <c r="N52" s="96"/>
      <c r="O52" s="97"/>
      <c r="S52" s="88"/>
      <c r="T52" s="89"/>
      <c r="U52" s="89"/>
      <c r="V52" s="89"/>
      <c r="W52" s="90"/>
      <c r="X52" s="91"/>
      <c r="Y52" s="91"/>
      <c r="Z52" s="91"/>
      <c r="AA52" s="91"/>
      <c r="AB52" s="93"/>
      <c r="AC52" s="89"/>
      <c r="AD52" s="94"/>
      <c r="AE52" s="95"/>
      <c r="AF52" s="96"/>
      <c r="AG52" s="97"/>
      <c r="AK52" s="88"/>
      <c r="AL52" s="89"/>
      <c r="AM52" s="89"/>
      <c r="AN52" s="89"/>
      <c r="AO52" s="90"/>
      <c r="AP52" s="91"/>
      <c r="AQ52" s="91"/>
      <c r="AR52" s="91"/>
      <c r="AS52" s="92"/>
      <c r="AT52" s="93"/>
      <c r="AU52" s="89"/>
      <c r="AV52" s="94"/>
      <c r="AW52" s="95"/>
      <c r="AX52" s="96"/>
      <c r="AY52" s="97"/>
      <c r="BC52" s="149"/>
      <c r="BD52" s="89"/>
      <c r="BE52" s="89"/>
      <c r="BF52" s="150"/>
      <c r="BG52" s="90"/>
      <c r="BH52" s="91"/>
      <c r="BI52" s="91"/>
      <c r="BJ52" s="91"/>
      <c r="BK52" s="92"/>
      <c r="BL52" s="93"/>
      <c r="BM52" s="89"/>
      <c r="BN52" s="94"/>
      <c r="BO52" s="95"/>
      <c r="BP52" s="96"/>
      <c r="BQ52" s="97"/>
    </row>
    <row r="53" spans="1:69" x14ac:dyDescent="0.25">
      <c r="A53" s="71" t="s">
        <v>46</v>
      </c>
      <c r="B53" s="89"/>
      <c r="C53" s="89"/>
      <c r="D53" s="89"/>
      <c r="E53" s="90"/>
      <c r="F53" s="91"/>
      <c r="G53" s="91"/>
      <c r="H53" s="91"/>
      <c r="I53" s="92"/>
      <c r="J53" s="93"/>
      <c r="K53" s="89"/>
      <c r="L53" s="94"/>
      <c r="M53" s="95"/>
      <c r="N53" s="96"/>
      <c r="O53" s="97"/>
      <c r="S53" s="71" t="s">
        <v>46</v>
      </c>
      <c r="T53" s="89"/>
      <c r="U53" s="89"/>
      <c r="V53" s="89"/>
      <c r="W53" s="90"/>
      <c r="X53" s="91"/>
      <c r="Y53" s="91"/>
      <c r="Z53" s="91"/>
      <c r="AA53" s="91"/>
      <c r="AB53" s="93"/>
      <c r="AC53" s="89"/>
      <c r="AD53" s="94"/>
      <c r="AE53" s="95"/>
      <c r="AF53" s="96"/>
      <c r="AG53" s="97"/>
      <c r="AK53" s="71" t="s">
        <v>46</v>
      </c>
      <c r="AL53" s="89"/>
      <c r="AM53" s="89"/>
      <c r="AN53" s="89"/>
      <c r="AO53" s="90"/>
      <c r="AP53" s="91"/>
      <c r="AQ53" s="91"/>
      <c r="AR53" s="91"/>
      <c r="AS53" s="92"/>
      <c r="AT53" s="93"/>
      <c r="AU53" s="89"/>
      <c r="AV53" s="94"/>
      <c r="AW53" s="95"/>
      <c r="AX53" s="96"/>
      <c r="AY53" s="97"/>
      <c r="BC53" s="71" t="s">
        <v>46</v>
      </c>
      <c r="BD53" s="89"/>
      <c r="BE53" s="89"/>
      <c r="BF53" s="150"/>
      <c r="BG53" s="90"/>
      <c r="BH53" s="91"/>
      <c r="BI53" s="91"/>
      <c r="BJ53" s="91"/>
      <c r="BK53" s="92"/>
      <c r="BL53" s="93"/>
      <c r="BM53" s="89"/>
      <c r="BN53" s="94"/>
      <c r="BO53" s="95"/>
      <c r="BP53" s="96"/>
      <c r="BQ53" s="97"/>
    </row>
    <row r="54" spans="1:69" x14ac:dyDescent="0.25">
      <c r="A54" s="98" t="s">
        <v>39</v>
      </c>
      <c r="B54" s="99"/>
      <c r="C54" s="100"/>
      <c r="D54" s="101"/>
      <c r="E54" s="102"/>
      <c r="F54" s="103"/>
      <c r="G54" s="103"/>
      <c r="H54" s="103"/>
      <c r="I54" s="104"/>
      <c r="J54" s="105"/>
      <c r="K54" s="106">
        <v>0</v>
      </c>
      <c r="L54" s="107"/>
      <c r="M54" s="106">
        <v>-2410775</v>
      </c>
      <c r="N54" s="392">
        <v>4962</v>
      </c>
      <c r="O54" s="39">
        <f>M54/N54</f>
        <v>-485.84744054816605</v>
      </c>
      <c r="S54" s="98" t="s">
        <v>39</v>
      </c>
      <c r="T54" s="99"/>
      <c r="U54" s="100"/>
      <c r="V54" s="101"/>
      <c r="W54" s="102"/>
      <c r="X54" s="103"/>
      <c r="Y54" s="103"/>
      <c r="Z54" s="103"/>
      <c r="AA54" s="151"/>
      <c r="AB54" s="105"/>
      <c r="AC54" s="106">
        <v>0</v>
      </c>
      <c r="AD54" s="107"/>
      <c r="AE54" s="106">
        <v>-2049375</v>
      </c>
      <c r="AF54" s="43">
        <v>2947</v>
      </c>
      <c r="AG54" s="39">
        <f>AE54/AF54</f>
        <v>-695.41058703766544</v>
      </c>
      <c r="AK54" s="98" t="s">
        <v>39</v>
      </c>
      <c r="AL54" s="99"/>
      <c r="AM54" s="100"/>
      <c r="AN54" s="101"/>
      <c r="AO54" s="102"/>
      <c r="AP54" s="103"/>
      <c r="AQ54" s="103"/>
      <c r="AR54" s="103"/>
      <c r="AS54" s="104"/>
      <c r="AT54" s="105"/>
      <c r="AU54" s="106">
        <v>0</v>
      </c>
      <c r="AV54" s="107"/>
      <c r="AW54" s="106">
        <v>-2049375</v>
      </c>
      <c r="AX54" s="43">
        <v>2750</v>
      </c>
      <c r="AY54" s="39">
        <f>AW54/AX54</f>
        <v>-745.22727272727275</v>
      </c>
      <c r="BC54" s="152" t="s">
        <v>39</v>
      </c>
      <c r="BD54" s="99"/>
      <c r="BE54" s="100"/>
      <c r="BF54" s="153"/>
      <c r="BG54" s="102"/>
      <c r="BH54" s="103"/>
      <c r="BI54" s="103"/>
      <c r="BJ54" s="103"/>
      <c r="BK54" s="104"/>
      <c r="BL54" s="105"/>
      <c r="BM54" s="106">
        <v>0</v>
      </c>
      <c r="BN54" s="107"/>
      <c r="BO54" s="106">
        <f>+M54</f>
        <v>-2410775</v>
      </c>
      <c r="BP54" s="43">
        <v>6605</v>
      </c>
      <c r="BQ54" s="39">
        <f>BO54/BP54</f>
        <v>-364.99242997728993</v>
      </c>
    </row>
    <row r="55" spans="1:69" x14ac:dyDescent="0.25">
      <c r="A55" s="98" t="s">
        <v>40</v>
      </c>
      <c r="B55" s="99"/>
      <c r="C55" s="100"/>
      <c r="D55" s="101"/>
      <c r="E55" s="102"/>
      <c r="F55" s="103"/>
      <c r="G55" s="103"/>
      <c r="H55" s="103"/>
      <c r="I55" s="104"/>
      <c r="J55" s="108"/>
      <c r="K55" s="109">
        <v>0</v>
      </c>
      <c r="L55" s="107"/>
      <c r="M55" s="109">
        <v>-132416.53</v>
      </c>
      <c r="N55" s="392">
        <v>4962</v>
      </c>
      <c r="O55" s="39">
        <f>M55/N55</f>
        <v>-26.686120515921001</v>
      </c>
      <c r="S55" s="98" t="s">
        <v>40</v>
      </c>
      <c r="T55" s="99"/>
      <c r="U55" s="100"/>
      <c r="V55" s="101"/>
      <c r="W55" s="102"/>
      <c r="X55" s="103"/>
      <c r="Y55" s="103"/>
      <c r="Z55" s="103"/>
      <c r="AA55" s="151"/>
      <c r="AB55" s="108"/>
      <c r="AC55" s="109">
        <v>0</v>
      </c>
      <c r="AD55" s="107"/>
      <c r="AE55" s="109">
        <f>+M55</f>
        <v>-132416.53</v>
      </c>
      <c r="AF55" s="32">
        <v>2947</v>
      </c>
      <c r="AG55" s="39">
        <f>AE55/AF55</f>
        <v>-44.932653545978958</v>
      </c>
      <c r="AK55" s="98" t="s">
        <v>40</v>
      </c>
      <c r="AL55" s="99"/>
      <c r="AM55" s="100"/>
      <c r="AN55" s="101"/>
      <c r="AO55" s="102"/>
      <c r="AP55" s="103"/>
      <c r="AQ55" s="103"/>
      <c r="AR55" s="103"/>
      <c r="AS55" s="104"/>
      <c r="AT55" s="108"/>
      <c r="AU55" s="109">
        <v>0</v>
      </c>
      <c r="AV55" s="107"/>
      <c r="AW55" s="109">
        <f>+AE55</f>
        <v>-132416.53</v>
      </c>
      <c r="AX55" s="32">
        <v>2750</v>
      </c>
      <c r="AY55" s="39">
        <f>AW55/AX55</f>
        <v>-48.151465454545452</v>
      </c>
      <c r="BC55" s="152" t="s">
        <v>40</v>
      </c>
      <c r="BD55" s="99"/>
      <c r="BE55" s="100"/>
      <c r="BF55" s="153"/>
      <c r="BG55" s="102"/>
      <c r="BH55" s="103"/>
      <c r="BI55" s="103"/>
      <c r="BJ55" s="103"/>
      <c r="BK55" s="104"/>
      <c r="BL55" s="108"/>
      <c r="BM55" s="109">
        <v>0</v>
      </c>
      <c r="BN55" s="107"/>
      <c r="BO55" s="109">
        <f>+AW55</f>
        <v>-132416.53</v>
      </c>
      <c r="BP55" s="32">
        <v>6605</v>
      </c>
      <c r="BQ55" s="39">
        <f>BO55/BP55</f>
        <v>-20.047922785768357</v>
      </c>
    </row>
    <row r="56" spans="1:69" x14ac:dyDescent="0.25">
      <c r="A56" s="98" t="s">
        <v>47</v>
      </c>
      <c r="B56" s="99"/>
      <c r="C56" s="100"/>
      <c r="D56" s="101"/>
      <c r="E56" s="102"/>
      <c r="F56" s="103"/>
      <c r="G56" s="103"/>
      <c r="H56" s="103"/>
      <c r="I56" s="104"/>
      <c r="J56" s="108"/>
      <c r="K56" s="109"/>
      <c r="L56" s="107"/>
      <c r="M56" s="109">
        <v>251224.2</v>
      </c>
      <c r="N56" s="392">
        <v>4962</v>
      </c>
      <c r="O56" s="39">
        <f t="shared" ref="O56:O57" si="78">M56/N56</f>
        <v>50.62962515114873</v>
      </c>
      <c r="S56" s="98" t="s">
        <v>47</v>
      </c>
      <c r="T56" s="99"/>
      <c r="U56" s="100"/>
      <c r="V56" s="101"/>
      <c r="W56" s="102"/>
      <c r="X56" s="103"/>
      <c r="Y56" s="103"/>
      <c r="Z56" s="103"/>
      <c r="AA56" s="151"/>
      <c r="AB56" s="108"/>
      <c r="AC56" s="109"/>
      <c r="AD56" s="107"/>
      <c r="AE56" s="109">
        <f>+M56</f>
        <v>251224.2</v>
      </c>
      <c r="AF56" s="32">
        <v>2947</v>
      </c>
      <c r="AG56" s="39">
        <f t="shared" ref="AG56:AG57" si="79">AE56/AF56</f>
        <v>85.24743807261622</v>
      </c>
      <c r="AK56" s="98" t="s">
        <v>47</v>
      </c>
      <c r="AL56" s="99"/>
      <c r="AM56" s="100"/>
      <c r="AN56" s="101"/>
      <c r="AO56" s="102"/>
      <c r="AP56" s="103"/>
      <c r="AQ56" s="103"/>
      <c r="AR56" s="103"/>
      <c r="AS56" s="104"/>
      <c r="AT56" s="108"/>
      <c r="AU56" s="109"/>
      <c r="AV56" s="107"/>
      <c r="AW56" s="109">
        <f>+AE56</f>
        <v>251224.2</v>
      </c>
      <c r="AX56" s="32">
        <v>2750</v>
      </c>
      <c r="AY56" s="39">
        <f t="shared" ref="AY56:AY57" si="80">AW56/AX56</f>
        <v>91.354254545454552</v>
      </c>
      <c r="BC56" s="152" t="s">
        <v>47</v>
      </c>
      <c r="BD56" s="99"/>
      <c r="BE56" s="100"/>
      <c r="BF56" s="153"/>
      <c r="BG56" s="102"/>
      <c r="BH56" s="103"/>
      <c r="BI56" s="103"/>
      <c r="BJ56" s="103"/>
      <c r="BK56" s="104"/>
      <c r="BL56" s="108"/>
      <c r="BM56" s="109"/>
      <c r="BN56" s="107"/>
      <c r="BO56" s="109">
        <f>+AW56</f>
        <v>251224.2</v>
      </c>
      <c r="BP56" s="32">
        <v>6605</v>
      </c>
      <c r="BQ56" s="39">
        <f t="shared" ref="BQ56:BQ57" si="81">BO56/BP56</f>
        <v>38.035457986373963</v>
      </c>
    </row>
    <row r="57" spans="1:69" x14ac:dyDescent="0.25">
      <c r="A57" s="98" t="s">
        <v>48</v>
      </c>
      <c r="B57" s="99"/>
      <c r="C57" s="100"/>
      <c r="D57" s="101"/>
      <c r="E57" s="102"/>
      <c r="F57" s="103"/>
      <c r="G57" s="103"/>
      <c r="H57" s="103"/>
      <c r="I57" s="104"/>
      <c r="J57" s="108"/>
      <c r="K57" s="109"/>
      <c r="L57" s="107"/>
      <c r="M57" s="109">
        <f>195167+46</f>
        <v>195213</v>
      </c>
      <c r="N57" s="392">
        <v>4962</v>
      </c>
      <c r="O57" s="39">
        <f t="shared" si="78"/>
        <v>39.341596130592499</v>
      </c>
      <c r="S57" s="98" t="s">
        <v>48</v>
      </c>
      <c r="T57" s="99"/>
      <c r="U57" s="100"/>
      <c r="V57" s="101"/>
      <c r="W57" s="102"/>
      <c r="X57" s="103"/>
      <c r="Y57" s="103"/>
      <c r="Z57" s="103"/>
      <c r="AA57" s="151"/>
      <c r="AB57" s="108"/>
      <c r="AC57" s="109"/>
      <c r="AD57" s="107"/>
      <c r="AE57" s="109">
        <f>+M57</f>
        <v>195213</v>
      </c>
      <c r="AF57" s="32">
        <v>2947</v>
      </c>
      <c r="AG57" s="39">
        <f t="shared" si="79"/>
        <v>66.241262300644721</v>
      </c>
      <c r="AK57" s="98" t="s">
        <v>48</v>
      </c>
      <c r="AL57" s="99"/>
      <c r="AM57" s="100"/>
      <c r="AN57" s="101"/>
      <c r="AO57" s="102"/>
      <c r="AP57" s="103"/>
      <c r="AQ57" s="103"/>
      <c r="AR57" s="103"/>
      <c r="AS57" s="104"/>
      <c r="AT57" s="108"/>
      <c r="AU57" s="109"/>
      <c r="AV57" s="107"/>
      <c r="AW57" s="109">
        <f>+AE57</f>
        <v>195213</v>
      </c>
      <c r="AX57" s="32">
        <v>2750</v>
      </c>
      <c r="AY57" s="39">
        <f t="shared" si="80"/>
        <v>70.98654545454545</v>
      </c>
      <c r="BC57" s="152" t="s">
        <v>48</v>
      </c>
      <c r="BD57" s="99"/>
      <c r="BE57" s="100"/>
      <c r="BF57" s="153"/>
      <c r="BG57" s="102"/>
      <c r="BH57" s="103"/>
      <c r="BI57" s="103"/>
      <c r="BJ57" s="103"/>
      <c r="BK57" s="104"/>
      <c r="BL57" s="108"/>
      <c r="BM57" s="109"/>
      <c r="BN57" s="107"/>
      <c r="BO57" s="109">
        <f>+AW57</f>
        <v>195213</v>
      </c>
      <c r="BP57" s="32">
        <v>6605</v>
      </c>
      <c r="BQ57" s="39">
        <f t="shared" si="81"/>
        <v>29.555336866010599</v>
      </c>
    </row>
    <row r="58" spans="1:69" x14ac:dyDescent="0.25">
      <c r="A58" s="57" t="s">
        <v>41</v>
      </c>
      <c r="B58" s="86"/>
      <c r="C58" s="86"/>
      <c r="D58" s="87"/>
      <c r="E58" s="60"/>
      <c r="F58" s="61"/>
      <c r="G58" s="61"/>
      <c r="H58" s="61"/>
      <c r="I58" s="62"/>
      <c r="J58" s="63"/>
      <c r="K58" s="86">
        <f>SUM(K54:K55)</f>
        <v>0</v>
      </c>
      <c r="L58" s="64"/>
      <c r="M58" s="58">
        <f>SUM(M54:M57)</f>
        <v>-2096754.3299999996</v>
      </c>
      <c r="N58" s="65">
        <v>4962</v>
      </c>
      <c r="O58" s="66">
        <f>SUM(O54:O57)</f>
        <v>-422.56233978234582</v>
      </c>
      <c r="S58" s="57" t="s">
        <v>41</v>
      </c>
      <c r="T58" s="86"/>
      <c r="U58" s="86"/>
      <c r="V58" s="87"/>
      <c r="W58" s="60"/>
      <c r="X58" s="61"/>
      <c r="Y58" s="61"/>
      <c r="Z58" s="61"/>
      <c r="AA58" s="142"/>
      <c r="AB58" s="63"/>
      <c r="AC58" s="86">
        <f>SUM(AC54:AC55)</f>
        <v>0</v>
      </c>
      <c r="AD58" s="64"/>
      <c r="AE58" s="58">
        <f>SUM(AE54:AE57)</f>
        <v>-1735354.3299999998</v>
      </c>
      <c r="AF58" s="65">
        <v>2947</v>
      </c>
      <c r="AG58" s="66">
        <f>SUM(AG54:AG57)</f>
        <v>-588.85454021038345</v>
      </c>
      <c r="AK58" s="57" t="s">
        <v>41</v>
      </c>
      <c r="AL58" s="86"/>
      <c r="AM58" s="86"/>
      <c r="AN58" s="87"/>
      <c r="AO58" s="60"/>
      <c r="AP58" s="61"/>
      <c r="AQ58" s="61"/>
      <c r="AR58" s="61"/>
      <c r="AS58" s="62"/>
      <c r="AT58" s="63"/>
      <c r="AU58" s="86">
        <f>SUM(AU54:AU55)</f>
        <v>0</v>
      </c>
      <c r="AV58" s="64"/>
      <c r="AW58" s="58">
        <f>SUM(AW54:AW57)</f>
        <v>-1735354.3299999998</v>
      </c>
      <c r="AX58" s="65">
        <v>2750</v>
      </c>
      <c r="AY58" s="66">
        <f>SUM(AY54:AY57)</f>
        <v>-631.03793818181828</v>
      </c>
      <c r="BC58" s="143" t="s">
        <v>41</v>
      </c>
      <c r="BD58" s="86"/>
      <c r="BE58" s="86"/>
      <c r="BF58" s="148"/>
      <c r="BG58" s="60"/>
      <c r="BH58" s="61"/>
      <c r="BI58" s="61"/>
      <c r="BJ58" s="61"/>
      <c r="BK58" s="62"/>
      <c r="BL58" s="63"/>
      <c r="BM58" s="86">
        <f>SUM(BM54:BM55)</f>
        <v>0</v>
      </c>
      <c r="BN58" s="64"/>
      <c r="BO58" s="58">
        <f>SUM(BO54:BO57)</f>
        <v>-2096754.3299999996</v>
      </c>
      <c r="BP58" s="65">
        <v>6605</v>
      </c>
      <c r="BQ58" s="66">
        <f>SUM(BQ54:BQ57)</f>
        <v>-317.44955791067378</v>
      </c>
    </row>
    <row r="59" spans="1:69" x14ac:dyDescent="0.25">
      <c r="B59" s="99"/>
      <c r="C59" s="99"/>
      <c r="D59" s="68"/>
      <c r="E59" s="69"/>
      <c r="F59" s="68"/>
      <c r="G59" s="68"/>
      <c r="H59" s="68"/>
      <c r="I59" s="70"/>
      <c r="J59" s="69"/>
      <c r="K59" s="68"/>
      <c r="L59" s="68"/>
      <c r="M59" s="68"/>
      <c r="N59" s="68"/>
      <c r="O59" s="70"/>
      <c r="T59" s="99"/>
      <c r="U59" s="99"/>
      <c r="V59" s="68"/>
      <c r="W59" s="69"/>
      <c r="X59" s="68"/>
      <c r="Y59" s="68"/>
      <c r="Z59" s="68"/>
      <c r="AA59" s="68"/>
      <c r="AB59" s="69"/>
      <c r="AC59" s="68"/>
      <c r="AD59" s="68"/>
      <c r="AE59" s="68"/>
      <c r="AF59" s="68"/>
      <c r="AG59" s="70"/>
      <c r="AL59" s="99"/>
      <c r="AM59" s="99"/>
      <c r="AN59" s="68"/>
      <c r="AO59" s="69"/>
      <c r="AP59" s="68"/>
      <c r="AQ59" s="68"/>
      <c r="AR59" s="68"/>
      <c r="AS59" s="70"/>
      <c r="AT59" s="69"/>
      <c r="AU59" s="68"/>
      <c r="AV59" s="68"/>
      <c r="AW59" s="68"/>
      <c r="AX59" s="68"/>
      <c r="AY59" s="70"/>
      <c r="BC59" s="69"/>
      <c r="BD59" s="99"/>
      <c r="BE59" s="99"/>
      <c r="BF59" s="70"/>
      <c r="BG59" s="69"/>
      <c r="BH59" s="68"/>
      <c r="BI59" s="68"/>
      <c r="BJ59" s="68"/>
      <c r="BK59" s="70"/>
      <c r="BL59" s="69"/>
      <c r="BM59" s="68"/>
      <c r="BN59" s="68"/>
      <c r="BO59" s="68"/>
      <c r="BP59" s="68"/>
      <c r="BQ59" s="70"/>
    </row>
    <row r="60" spans="1:69" ht="15.75" thickBot="1" x14ac:dyDescent="0.3">
      <c r="A60" s="110" t="s">
        <v>42</v>
      </c>
      <c r="B60" s="111"/>
      <c r="C60" s="111"/>
      <c r="D60" s="112"/>
      <c r="E60" s="113"/>
      <c r="F60" s="114"/>
      <c r="G60" s="114"/>
      <c r="H60" s="114"/>
      <c r="I60" s="115"/>
      <c r="J60" s="116"/>
      <c r="K60" s="117">
        <f>SUM(K46,K51,K58)</f>
        <v>8651953.6788102984</v>
      </c>
      <c r="L60" s="118"/>
      <c r="M60" s="117">
        <f>SUM(M46,M51,M58)</f>
        <v>17291570.216189705</v>
      </c>
      <c r="N60" s="119">
        <v>4962</v>
      </c>
      <c r="O60" s="120">
        <f>SUM(O46,O51,O58)</f>
        <v>3484.7985119285977</v>
      </c>
      <c r="S60" s="110" t="s">
        <v>42</v>
      </c>
      <c r="T60" s="111"/>
      <c r="U60" s="111"/>
      <c r="V60" s="112"/>
      <c r="W60" s="113"/>
      <c r="X60" s="114"/>
      <c r="Y60" s="114"/>
      <c r="Z60" s="114"/>
      <c r="AA60" s="154"/>
      <c r="AB60" s="116"/>
      <c r="AC60" s="117">
        <f>SUM(AC46,AC51,AC58)</f>
        <v>11382547.073026128</v>
      </c>
      <c r="AD60" s="118"/>
      <c r="AE60" s="117">
        <f>SUM(AE46,AE51,AE58)</f>
        <v>14936323.82197387</v>
      </c>
      <c r="AF60" s="119">
        <v>2947</v>
      </c>
      <c r="AG60" s="120">
        <f>SUM(AG46,AG51,AG58)</f>
        <v>5068.3148360956466</v>
      </c>
      <c r="AK60" s="110" t="s">
        <v>42</v>
      </c>
      <c r="AL60" s="111"/>
      <c r="AM60" s="111"/>
      <c r="AN60" s="112"/>
      <c r="AO60" s="113"/>
      <c r="AP60" s="114"/>
      <c r="AQ60" s="114"/>
      <c r="AR60" s="114"/>
      <c r="AS60" s="115"/>
      <c r="AT60" s="116"/>
      <c r="AU60" s="117">
        <f>SUM(AU46,AU51,AU58)</f>
        <v>11451860.605695192</v>
      </c>
      <c r="AV60" s="118"/>
      <c r="AW60" s="117">
        <f>SUM(AW46,AW51,AW58)</f>
        <v>14718552.064304808</v>
      </c>
      <c r="AX60" s="119">
        <v>2750</v>
      </c>
      <c r="AY60" s="120">
        <f>SUM(AY46,AY51,AY58)</f>
        <v>5352.2007506562941</v>
      </c>
      <c r="BC60" s="155" t="s">
        <v>42</v>
      </c>
      <c r="BD60" s="156"/>
      <c r="BE60" s="156"/>
      <c r="BF60" s="157"/>
      <c r="BG60" s="113"/>
      <c r="BH60" s="114"/>
      <c r="BI60" s="114"/>
      <c r="BJ60" s="114"/>
      <c r="BK60" s="115"/>
      <c r="BL60" s="116"/>
      <c r="BM60" s="117">
        <f>SUM(BM46,BM51,BM58)</f>
        <v>7469530.7108046552</v>
      </c>
      <c r="BN60" s="118"/>
      <c r="BO60" s="117">
        <f>SUM(BO46,BO51,BO58)</f>
        <v>20972533.184195343</v>
      </c>
      <c r="BP60" s="119">
        <v>6605</v>
      </c>
      <c r="BQ60" s="120">
        <f>SUM(BQ46,BQ51,BQ58)</f>
        <v>3175.2510498403244</v>
      </c>
    </row>
    <row r="62" spans="1:69" x14ac:dyDescent="0.25">
      <c r="K62" s="67"/>
      <c r="S62" t="s">
        <v>49</v>
      </c>
      <c r="AG62" s="67"/>
      <c r="BM62" s="67"/>
    </row>
    <row r="63" spans="1:69" x14ac:dyDescent="0.25">
      <c r="K63" s="67"/>
      <c r="L63" s="121"/>
      <c r="BM63" s="67"/>
    </row>
    <row r="64" spans="1:69" x14ac:dyDescent="0.25">
      <c r="K64" s="67"/>
      <c r="BM64" s="67"/>
    </row>
    <row r="65" spans="1:65" x14ac:dyDescent="0.25">
      <c r="K65" s="67"/>
      <c r="BD65" s="121"/>
      <c r="BM65" s="67"/>
    </row>
    <row r="66" spans="1:65" x14ac:dyDescent="0.25">
      <c r="K66" s="67"/>
      <c r="BM66" s="67"/>
    </row>
    <row r="67" spans="1:65" x14ac:dyDescent="0.25">
      <c r="K67" s="67"/>
      <c r="BM67" s="67"/>
    </row>
    <row r="68" spans="1:65" hidden="1" x14ac:dyDescent="0.25">
      <c r="K68" s="67"/>
      <c r="BM68" s="67"/>
    </row>
    <row r="69" spans="1:65" hidden="1" x14ac:dyDescent="0.25">
      <c r="K69" s="67"/>
      <c r="BM69" s="67"/>
    </row>
    <row r="70" spans="1:65" hidden="1" x14ac:dyDescent="0.25">
      <c r="K70" s="67"/>
      <c r="BM70" s="67"/>
    </row>
    <row r="71" spans="1:65" ht="15.75" hidden="1" thickBot="1" x14ac:dyDescent="0.3">
      <c r="A71" s="158" t="s">
        <v>50</v>
      </c>
      <c r="K71" s="67"/>
      <c r="L71" t="s">
        <v>51</v>
      </c>
      <c r="BM71" s="67"/>
    </row>
    <row r="72" spans="1:65" s="159" customFormat="1" ht="15.75" hidden="1" thickBot="1" x14ac:dyDescent="0.3">
      <c r="B72" s="442" t="s">
        <v>52</v>
      </c>
      <c r="C72" s="443"/>
      <c r="D72" s="444"/>
      <c r="E72" s="160"/>
      <c r="F72" s="161"/>
      <c r="G72" s="442" t="s">
        <v>53</v>
      </c>
      <c r="H72" s="444"/>
      <c r="I72" s="442" t="s">
        <v>54</v>
      </c>
      <c r="J72" s="444"/>
      <c r="K72" s="67"/>
      <c r="L72" s="161"/>
      <c r="M72" s="442" t="s">
        <v>53</v>
      </c>
      <c r="N72" s="444"/>
      <c r="O72" s="442" t="s">
        <v>54</v>
      </c>
      <c r="P72" s="444"/>
      <c r="BM72" s="67"/>
    </row>
    <row r="73" spans="1:65" ht="30" hidden="1" x14ac:dyDescent="0.25">
      <c r="A73" s="13"/>
      <c r="B73" s="162"/>
      <c r="C73" s="163" t="s">
        <v>55</v>
      </c>
      <c r="D73" s="164" t="s">
        <v>20</v>
      </c>
      <c r="E73" s="165"/>
      <c r="F73" s="162"/>
      <c r="G73" s="166" t="s">
        <v>55</v>
      </c>
      <c r="H73" s="164" t="s">
        <v>20</v>
      </c>
      <c r="I73" s="166" t="s">
        <v>55</v>
      </c>
      <c r="J73" s="164" t="s">
        <v>20</v>
      </c>
      <c r="K73" s="67"/>
      <c r="L73" s="162"/>
      <c r="M73" s="166" t="s">
        <v>55</v>
      </c>
      <c r="N73" s="164" t="s">
        <v>20</v>
      </c>
      <c r="O73" s="166" t="s">
        <v>55</v>
      </c>
      <c r="P73" s="164" t="s">
        <v>20</v>
      </c>
      <c r="BM73" s="67"/>
    </row>
    <row r="74" spans="1:65" hidden="1" x14ac:dyDescent="0.25">
      <c r="A74" s="13" t="s">
        <v>56</v>
      </c>
      <c r="B74" s="167" t="s">
        <v>57</v>
      </c>
      <c r="C74" s="168">
        <f>+J9</f>
        <v>0.2869751021924935</v>
      </c>
      <c r="D74" s="169">
        <f>+L9</f>
        <v>0.71302489780750655</v>
      </c>
      <c r="E74" s="170"/>
      <c r="F74" s="171" t="s">
        <v>57</v>
      </c>
      <c r="G74" s="172">
        <f>+J39</f>
        <v>0.3348509485094851</v>
      </c>
      <c r="H74" s="173">
        <f>+L39</f>
        <v>0.66514905149051495</v>
      </c>
      <c r="I74" s="172">
        <f>+AB39</f>
        <v>0.43629943502824858</v>
      </c>
      <c r="J74" s="173">
        <f>+AD39</f>
        <v>0.56370056497175136</v>
      </c>
      <c r="K74" s="67"/>
      <c r="L74" s="171" t="s">
        <v>58</v>
      </c>
      <c r="M74" s="172">
        <f>+J39</f>
        <v>0.3348509485094851</v>
      </c>
      <c r="N74" s="173">
        <f>+L39</f>
        <v>0.66514905149051495</v>
      </c>
      <c r="O74" s="172">
        <f>+AB39</f>
        <v>0.43629943502824858</v>
      </c>
      <c r="P74" s="173">
        <f>+AD39</f>
        <v>0.56370056497175136</v>
      </c>
      <c r="BM74" s="67"/>
    </row>
    <row r="75" spans="1:65" hidden="1" x14ac:dyDescent="0.25">
      <c r="A75" s="28" t="s">
        <v>9</v>
      </c>
      <c r="B75" s="135"/>
      <c r="C75" s="174">
        <f>+E8</f>
        <v>3089</v>
      </c>
      <c r="D75" s="175"/>
      <c r="E75" s="176"/>
      <c r="F75" s="135"/>
      <c r="G75" s="177">
        <f>+E39</f>
        <v>3089</v>
      </c>
      <c r="H75" s="178"/>
      <c r="I75" s="177">
        <f>+E39</f>
        <v>3089</v>
      </c>
      <c r="J75" s="178"/>
      <c r="K75" s="67"/>
      <c r="L75" s="135"/>
      <c r="M75" s="177">
        <f>+E39</f>
        <v>3089</v>
      </c>
      <c r="N75" s="178"/>
      <c r="O75" s="177">
        <f>+E39</f>
        <v>3089</v>
      </c>
      <c r="P75" s="178"/>
      <c r="BM75" s="67"/>
    </row>
    <row r="76" spans="1:65" hidden="1" x14ac:dyDescent="0.25">
      <c r="A76" s="28" t="s">
        <v>11</v>
      </c>
      <c r="B76" s="135"/>
      <c r="C76" s="179"/>
      <c r="D76" s="180">
        <f>+G8+F8</f>
        <v>894</v>
      </c>
      <c r="E76" s="181"/>
      <c r="F76" s="135"/>
      <c r="G76" s="177"/>
      <c r="H76" s="182">
        <f>+F39+G39</f>
        <v>1174</v>
      </c>
      <c r="I76" s="183"/>
      <c r="J76" s="182">
        <f>+X39+Y39</f>
        <v>1044</v>
      </c>
      <c r="K76" s="67"/>
      <c r="L76" s="135"/>
      <c r="M76" s="177"/>
      <c r="N76" s="182">
        <f>+X39+Y39</f>
        <v>1044</v>
      </c>
      <c r="O76" s="183"/>
      <c r="P76" s="182">
        <f>+X39+Y39</f>
        <v>1044</v>
      </c>
      <c r="BM76" s="67"/>
    </row>
    <row r="77" spans="1:65" hidden="1" x14ac:dyDescent="0.25">
      <c r="A77" s="28" t="s">
        <v>59</v>
      </c>
      <c r="B77" s="135"/>
      <c r="C77" s="179"/>
      <c r="D77" s="180">
        <f>+H11</f>
        <v>6781</v>
      </c>
      <c r="E77" s="181"/>
      <c r="F77" s="135"/>
      <c r="G77" s="183"/>
      <c r="H77" s="182">
        <f>+H39</f>
        <v>4962</v>
      </c>
      <c r="I77" s="183"/>
      <c r="J77" s="182">
        <f>+Z40</f>
        <v>2947</v>
      </c>
      <c r="K77" s="67"/>
      <c r="L77" s="135"/>
      <c r="M77" s="183"/>
      <c r="N77" s="182">
        <f>+H39</f>
        <v>4962</v>
      </c>
      <c r="O77" s="183"/>
      <c r="P77" s="182">
        <f>+AF40</f>
        <v>2947</v>
      </c>
      <c r="BM77" s="67"/>
    </row>
    <row r="78" spans="1:65" hidden="1" x14ac:dyDescent="0.25">
      <c r="A78" s="28" t="s">
        <v>13</v>
      </c>
      <c r="B78" s="135"/>
      <c r="C78" s="174">
        <f>SUM(C75:C77)</f>
        <v>3089</v>
      </c>
      <c r="D78" s="182">
        <f>SUM(D76:D77)</f>
        <v>7675</v>
      </c>
      <c r="E78" s="181"/>
      <c r="F78" s="135"/>
      <c r="G78" s="177">
        <f>SUM(G75:G77)</f>
        <v>3089</v>
      </c>
      <c r="H78" s="182">
        <f>SUM(H75:H77)</f>
        <v>6136</v>
      </c>
      <c r="I78" s="177">
        <f>SUM(I75:I77)</f>
        <v>3089</v>
      </c>
      <c r="J78" s="182">
        <f>SUM(J75:J77)</f>
        <v>3991</v>
      </c>
      <c r="K78" s="67"/>
      <c r="L78" s="135"/>
      <c r="M78" s="177">
        <f>SUM(M75:M77)</f>
        <v>3089</v>
      </c>
      <c r="N78" s="182">
        <f>SUM(N75:N77)</f>
        <v>6006</v>
      </c>
      <c r="O78" s="177">
        <f>SUM(O75:O77)</f>
        <v>3089</v>
      </c>
      <c r="P78" s="182">
        <f>SUM(P75:P77)</f>
        <v>3991</v>
      </c>
      <c r="BM78" s="67"/>
    </row>
    <row r="79" spans="1:65" hidden="1" x14ac:dyDescent="0.25">
      <c r="A79" s="13"/>
      <c r="B79" s="131"/>
      <c r="C79" s="445">
        <f>+D78+C78</f>
        <v>10764</v>
      </c>
      <c r="D79" s="446"/>
      <c r="E79" s="165"/>
      <c r="F79" s="131"/>
      <c r="G79" s="447">
        <f>+G78+H78</f>
        <v>9225</v>
      </c>
      <c r="H79" s="448"/>
      <c r="I79" s="447">
        <f>+I78+J78</f>
        <v>7080</v>
      </c>
      <c r="J79" s="448"/>
      <c r="K79" s="67"/>
      <c r="L79" s="131"/>
      <c r="M79" s="447">
        <f>+M78+N78</f>
        <v>9095</v>
      </c>
      <c r="N79" s="448"/>
      <c r="O79" s="447">
        <f>+O78+P78</f>
        <v>7080</v>
      </c>
      <c r="P79" s="448"/>
      <c r="BM79" s="67"/>
    </row>
    <row r="80" spans="1:65" hidden="1" x14ac:dyDescent="0.25">
      <c r="A80" s="20" t="s">
        <v>21</v>
      </c>
      <c r="B80" s="132"/>
      <c r="C80" s="20"/>
      <c r="D80" s="184" t="s">
        <v>60</v>
      </c>
      <c r="E80" s="149"/>
      <c r="F80" s="132"/>
      <c r="G80" s="132"/>
      <c r="H80" s="184"/>
      <c r="I80" s="132"/>
      <c r="J80" s="184"/>
      <c r="K80" s="67"/>
      <c r="L80" s="132"/>
      <c r="M80" s="132"/>
      <c r="N80" s="184"/>
      <c r="O80" s="132"/>
      <c r="P80" s="184"/>
      <c r="BM80" s="67"/>
    </row>
    <row r="81" spans="1:65" ht="28.5" hidden="1" x14ac:dyDescent="0.25">
      <c r="A81" s="28" t="s">
        <v>22</v>
      </c>
      <c r="B81" s="185">
        <f>+D8</f>
        <v>6333289</v>
      </c>
      <c r="C81" s="186">
        <f>+K8</f>
        <v>1817496.2579895949</v>
      </c>
      <c r="D81" s="187">
        <f>+M8</f>
        <v>4515792.7420104053</v>
      </c>
      <c r="E81" s="188"/>
      <c r="F81" s="185">
        <f>+D39</f>
        <v>7461163</v>
      </c>
      <c r="G81" s="189">
        <f>+F81*$G$74</f>
        <v>2498377.5075338753</v>
      </c>
      <c r="H81" s="190">
        <f>+F81*$H$74</f>
        <v>4962785.4924661247</v>
      </c>
      <c r="I81" s="189">
        <f>+AC39</f>
        <v>3255301.2015536721</v>
      </c>
      <c r="J81" s="190">
        <f>+AE39</f>
        <v>4205861.7984463274</v>
      </c>
      <c r="K81" s="67"/>
      <c r="L81" s="191">
        <f>7675896-500000</f>
        <v>7175896</v>
      </c>
      <c r="M81" s="189">
        <f>+L81*$M$74</f>
        <v>2402855.5820054202</v>
      </c>
      <c r="N81" s="190">
        <f>+L81*$N$74</f>
        <v>4773040.4179945802</v>
      </c>
      <c r="O81" s="189">
        <f>+L81*$O$74</f>
        <v>3130839.3706214689</v>
      </c>
      <c r="P81" s="190">
        <f>+L81*$P$74</f>
        <v>4045056.6293785307</v>
      </c>
      <c r="BM81" s="67"/>
    </row>
    <row r="82" spans="1:65" ht="28.5" hidden="1" x14ac:dyDescent="0.25">
      <c r="A82" s="40" t="s">
        <v>23</v>
      </c>
      <c r="B82" s="192">
        <f>+D9</f>
        <v>2233689</v>
      </c>
      <c r="C82" s="193">
        <f>+K9</f>
        <v>641013.12904124858</v>
      </c>
      <c r="D82" s="194">
        <f>+M9</f>
        <v>1592675.8709587515</v>
      </c>
      <c r="E82" s="188"/>
      <c r="F82" s="192">
        <f>+D40</f>
        <v>2289531.2250000001</v>
      </c>
      <c r="G82" s="189">
        <f>+F82*$G$74</f>
        <v>766651.70233333344</v>
      </c>
      <c r="H82" s="190">
        <f>+F82*$H$74</f>
        <v>1522879.5226666669</v>
      </c>
      <c r="I82" s="189">
        <f>+AC40</f>
        <v>998921.17994703387</v>
      </c>
      <c r="J82" s="190">
        <f>+AE40</f>
        <v>1290610.0450529661</v>
      </c>
      <c r="K82" s="67"/>
      <c r="L82" s="185">
        <f>+F82</f>
        <v>2289531.2250000001</v>
      </c>
      <c r="M82" s="189">
        <f t="shared" ref="M82:M87" si="82">+L82*$M$74</f>
        <v>766651.70233333344</v>
      </c>
      <c r="N82" s="190">
        <f t="shared" ref="N82:N87" si="83">+L82*$N$74</f>
        <v>1522879.5226666669</v>
      </c>
      <c r="O82" s="189">
        <f t="shared" ref="O82:O87" si="84">+L82*$O$74</f>
        <v>998921.17994703387</v>
      </c>
      <c r="P82" s="190">
        <f t="shared" ref="P82:P87" si="85">+L82*$P$74</f>
        <v>1290610.0450529661</v>
      </c>
      <c r="BM82" s="67"/>
    </row>
    <row r="83" spans="1:65" ht="28.5" hidden="1" x14ac:dyDescent="0.25">
      <c r="A83" s="40" t="s">
        <v>24</v>
      </c>
      <c r="B83" s="137"/>
      <c r="C83" s="40"/>
      <c r="D83" s="195"/>
      <c r="E83" s="176"/>
      <c r="F83" s="137"/>
      <c r="G83" s="189"/>
      <c r="H83" s="190"/>
      <c r="I83" s="189"/>
      <c r="J83" s="190"/>
      <c r="K83" s="67"/>
      <c r="L83" s="185"/>
      <c r="M83" s="189">
        <f t="shared" si="82"/>
        <v>0</v>
      </c>
      <c r="N83" s="190">
        <f t="shared" si="83"/>
        <v>0</v>
      </c>
      <c r="O83" s="189">
        <f t="shared" si="84"/>
        <v>0</v>
      </c>
      <c r="P83" s="190">
        <f t="shared" si="85"/>
        <v>0</v>
      </c>
      <c r="BM83" s="67"/>
    </row>
    <row r="84" spans="1:65" hidden="1" x14ac:dyDescent="0.25">
      <c r="A84" s="55" t="s">
        <v>25</v>
      </c>
      <c r="B84" s="196">
        <f>+D11</f>
        <v>2661150</v>
      </c>
      <c r="C84" s="193">
        <f>+K11</f>
        <v>763683.79319955409</v>
      </c>
      <c r="D84" s="197">
        <f>+M11</f>
        <v>1897466.2068004461</v>
      </c>
      <c r="E84" s="198"/>
      <c r="F84" s="192">
        <f>+D42</f>
        <v>2873996</v>
      </c>
      <c r="G84" s="189">
        <f>+F84*$G$74</f>
        <v>962360.28661246609</v>
      </c>
      <c r="H84" s="190">
        <f>+F84*$H$74</f>
        <v>1911635.713387534</v>
      </c>
      <c r="I84" s="189">
        <f>+AC42</f>
        <v>1253922.8310734462</v>
      </c>
      <c r="J84" s="190">
        <f>+AE42</f>
        <v>1620073.1689265536</v>
      </c>
      <c r="K84" s="67"/>
      <c r="L84" s="185">
        <v>2873996</v>
      </c>
      <c r="M84" s="189">
        <f t="shared" si="82"/>
        <v>962360.28661246609</v>
      </c>
      <c r="N84" s="190">
        <f t="shared" si="83"/>
        <v>1911635.713387534</v>
      </c>
      <c r="O84" s="189">
        <f t="shared" si="84"/>
        <v>1253922.8310734462</v>
      </c>
      <c r="P84" s="190">
        <f t="shared" si="85"/>
        <v>1620073.1689265536</v>
      </c>
      <c r="BM84" s="67"/>
    </row>
    <row r="85" spans="1:65" hidden="1" x14ac:dyDescent="0.25">
      <c r="A85" s="55" t="s">
        <v>26</v>
      </c>
      <c r="B85" s="196">
        <f>+D12</f>
        <v>4826243</v>
      </c>
      <c r="C85" s="193">
        <f>+K12</f>
        <v>1385011.5781308063</v>
      </c>
      <c r="D85" s="197">
        <f>+M12</f>
        <v>3441231.4218691937</v>
      </c>
      <c r="E85" s="198"/>
      <c r="F85" s="192">
        <f t="shared" ref="F85:F87" si="86">+D43</f>
        <v>4333188</v>
      </c>
      <c r="G85" s="189">
        <f>+F85*$G$74</f>
        <v>1450972.1118699186</v>
      </c>
      <c r="H85" s="190">
        <f>+F85*$H$74</f>
        <v>2882215.8881300814</v>
      </c>
      <c r="I85" s="189">
        <f>+AC43</f>
        <v>1890567.4762711865</v>
      </c>
      <c r="J85" s="190">
        <f>+AE43</f>
        <v>2442620.5237288135</v>
      </c>
      <c r="K85" s="67"/>
      <c r="L85" s="191">
        <f>5321309-975000</f>
        <v>4346309</v>
      </c>
      <c r="M85" s="189">
        <f t="shared" si="82"/>
        <v>1455365.6911653117</v>
      </c>
      <c r="N85" s="190">
        <f t="shared" si="83"/>
        <v>2890943.3088346887</v>
      </c>
      <c r="O85" s="189">
        <f t="shared" si="84"/>
        <v>1896292.161158192</v>
      </c>
      <c r="P85" s="190">
        <f t="shared" si="85"/>
        <v>2450016.8388418076</v>
      </c>
      <c r="BM85" s="67"/>
    </row>
    <row r="86" spans="1:65" hidden="1" x14ac:dyDescent="0.25">
      <c r="A86" s="55" t="s">
        <v>27</v>
      </c>
      <c r="B86" s="196">
        <f>+D13</f>
        <v>2629667</v>
      </c>
      <c r="C86" s="193">
        <f>+K13</f>
        <v>1191518</v>
      </c>
      <c r="D86" s="197">
        <f>+M13</f>
        <v>1438149</v>
      </c>
      <c r="E86" s="198"/>
      <c r="F86" s="192">
        <f t="shared" si="86"/>
        <v>2268695</v>
      </c>
      <c r="G86" s="189">
        <f>+K44</f>
        <v>830546</v>
      </c>
      <c r="H86" s="190">
        <f>+M44</f>
        <v>1438149</v>
      </c>
      <c r="I86" s="189">
        <f>+AC44</f>
        <v>1191518</v>
      </c>
      <c r="J86" s="190">
        <f>+AE44</f>
        <v>1438149</v>
      </c>
      <c r="K86" s="67"/>
      <c r="L86" s="191">
        <f>2689738-770333</f>
        <v>1919405</v>
      </c>
      <c r="M86" s="189">
        <f t="shared" si="82"/>
        <v>642714.58482384821</v>
      </c>
      <c r="N86" s="190">
        <f t="shared" si="83"/>
        <v>1276690.4151761518</v>
      </c>
      <c r="O86" s="189">
        <f t="shared" si="84"/>
        <v>837435.31709039549</v>
      </c>
      <c r="P86" s="190">
        <f t="shared" si="85"/>
        <v>1081969.6829096044</v>
      </c>
      <c r="BM86" s="67"/>
    </row>
    <row r="87" spans="1:65" hidden="1" x14ac:dyDescent="0.25">
      <c r="A87" s="55" t="s">
        <v>30</v>
      </c>
      <c r="B87" s="196">
        <f>+D14</f>
        <v>6400000</v>
      </c>
      <c r="C87" s="193">
        <f>+K14</f>
        <v>1836640.6540319584</v>
      </c>
      <c r="D87" s="197">
        <f>+M14</f>
        <v>4563359.3459680416</v>
      </c>
      <c r="E87" s="198"/>
      <c r="F87" s="192">
        <f t="shared" si="86"/>
        <v>6400000</v>
      </c>
      <c r="G87" s="189">
        <f>+F87*$G$74</f>
        <v>2143046.0704607046</v>
      </c>
      <c r="H87" s="190">
        <f>+F87*$H$74</f>
        <v>4256953.9295392958</v>
      </c>
      <c r="I87" s="189">
        <f>+AC45</f>
        <v>2792316.3841807907</v>
      </c>
      <c r="J87" s="190">
        <f>+AE45</f>
        <v>3607683.6158192088</v>
      </c>
      <c r="K87" s="67"/>
      <c r="L87" s="185">
        <f>+F87</f>
        <v>6400000</v>
      </c>
      <c r="M87" s="189">
        <f t="shared" si="82"/>
        <v>2143046.0704607046</v>
      </c>
      <c r="N87" s="190">
        <f t="shared" si="83"/>
        <v>4256953.9295392958</v>
      </c>
      <c r="O87" s="189">
        <f t="shared" si="84"/>
        <v>2792316.3841807907</v>
      </c>
      <c r="P87" s="190">
        <f t="shared" si="85"/>
        <v>3607683.6158192088</v>
      </c>
      <c r="BM87" s="67"/>
    </row>
    <row r="88" spans="1:65" hidden="1" x14ac:dyDescent="0.25">
      <c r="A88" s="57" t="s">
        <v>31</v>
      </c>
      <c r="B88" s="199">
        <f t="shared" ref="B88:F88" si="87">SUM(B81:B87)</f>
        <v>25084038</v>
      </c>
      <c r="C88" s="200">
        <f t="shared" si="87"/>
        <v>7635363.412393162</v>
      </c>
      <c r="D88" s="201">
        <f t="shared" si="87"/>
        <v>17448674.58760684</v>
      </c>
      <c r="E88" s="202"/>
      <c r="F88" s="203">
        <f t="shared" si="87"/>
        <v>25626573.225000001</v>
      </c>
      <c r="G88" s="203">
        <f>SUM(G81:G87)</f>
        <v>8651953.6788102984</v>
      </c>
      <c r="H88" s="204">
        <f>SUM(H81:H87)</f>
        <v>16974619.546189703</v>
      </c>
      <c r="I88" s="203">
        <f t="shared" ref="I88:J88" si="88">SUM(I81:I87)</f>
        <v>11382547.073026128</v>
      </c>
      <c r="J88" s="204">
        <f t="shared" si="88"/>
        <v>14604998.15197387</v>
      </c>
      <c r="K88" s="67"/>
      <c r="L88" s="203">
        <f t="shared" ref="L88" si="89">SUM(L81:L87)</f>
        <v>25005137.225000001</v>
      </c>
      <c r="M88" s="203">
        <f>SUM(M81:M87)</f>
        <v>8372993.9174010847</v>
      </c>
      <c r="N88" s="205">
        <f>SUM(N81:N87)</f>
        <v>16632143.307598915</v>
      </c>
      <c r="O88" s="203">
        <f t="shared" ref="O88:P88" si="90">SUM(O81:O87)</f>
        <v>10909727.244071327</v>
      </c>
      <c r="P88" s="204">
        <f t="shared" si="90"/>
        <v>14095409.980928671</v>
      </c>
      <c r="BM88" s="67"/>
    </row>
    <row r="89" spans="1:65" hidden="1" x14ac:dyDescent="0.25">
      <c r="A89" s="206"/>
      <c r="B89" s="69"/>
      <c r="C89" s="68"/>
      <c r="D89" s="70"/>
      <c r="E89" s="207"/>
      <c r="F89" s="69"/>
      <c r="G89" s="69"/>
      <c r="H89" s="70"/>
      <c r="I89" s="69"/>
      <c r="J89" s="70"/>
      <c r="K89" s="67"/>
      <c r="L89" s="69"/>
      <c r="M89" s="69"/>
      <c r="N89" s="70"/>
      <c r="O89" s="69"/>
      <c r="P89" s="70"/>
      <c r="BM89" s="67"/>
    </row>
    <row r="90" spans="1:65" hidden="1" x14ac:dyDescent="0.25">
      <c r="A90" s="208" t="s">
        <v>32</v>
      </c>
      <c r="B90" s="209"/>
      <c r="C90" s="210"/>
      <c r="D90" s="211"/>
      <c r="E90" s="149"/>
      <c r="F90" s="209"/>
      <c r="G90" s="209"/>
      <c r="H90" s="211"/>
      <c r="I90" s="209"/>
      <c r="J90" s="211"/>
      <c r="K90" s="67"/>
      <c r="L90" s="209"/>
      <c r="M90" s="209"/>
      <c r="N90" s="211"/>
      <c r="O90" s="209"/>
      <c r="P90" s="211"/>
      <c r="BM90" s="67"/>
    </row>
    <row r="91" spans="1:65" ht="61.5" hidden="1" customHeight="1" x14ac:dyDescent="0.25">
      <c r="A91" s="40" t="s">
        <v>35</v>
      </c>
      <c r="B91" s="137"/>
      <c r="C91" s="40"/>
      <c r="D91" s="194">
        <f>+M20</f>
        <v>2430240</v>
      </c>
      <c r="E91" s="188"/>
      <c r="F91" s="137"/>
      <c r="G91" s="212" t="s">
        <v>61</v>
      </c>
      <c r="H91" s="194">
        <f>+M49</f>
        <v>1920205</v>
      </c>
      <c r="I91" s="212" t="s">
        <v>62</v>
      </c>
      <c r="J91" s="194">
        <f>+AE49</f>
        <v>1573180.0000000002</v>
      </c>
      <c r="K91" s="67"/>
      <c r="L91" s="137"/>
      <c r="M91" s="212" t="s">
        <v>63</v>
      </c>
      <c r="N91" s="194">
        <f>+(8300000*3.305%)*7</f>
        <v>1920205</v>
      </c>
      <c r="O91" s="212" t="s">
        <v>64</v>
      </c>
      <c r="P91" s="194">
        <f>+(6300000*3.305%)*7</f>
        <v>1457505.0000000002</v>
      </c>
      <c r="BM91" s="67"/>
    </row>
    <row r="92" spans="1:65" ht="42.75" hidden="1" x14ac:dyDescent="0.25">
      <c r="A92" s="40" t="s">
        <v>36</v>
      </c>
      <c r="B92" s="137"/>
      <c r="C92" s="40"/>
      <c r="D92" s="194">
        <f>+(M21+M19+M18)-D99</f>
        <v>659134.06500000006</v>
      </c>
      <c r="E92" s="188"/>
      <c r="F92" s="137"/>
      <c r="G92" s="137"/>
      <c r="H92" s="194">
        <f>+M50</f>
        <v>493500</v>
      </c>
      <c r="I92" s="137"/>
      <c r="J92" s="194">
        <f>+AE50</f>
        <v>493500</v>
      </c>
      <c r="K92" s="67"/>
      <c r="L92" s="137"/>
      <c r="M92" s="137"/>
      <c r="N92" s="194">
        <f>+H92</f>
        <v>493500</v>
      </c>
      <c r="O92" s="137"/>
      <c r="P92" s="194">
        <f>+H92</f>
        <v>493500</v>
      </c>
      <c r="BM92" s="67"/>
    </row>
    <row r="93" spans="1:65" hidden="1" x14ac:dyDescent="0.25">
      <c r="A93" s="57" t="s">
        <v>37</v>
      </c>
      <c r="B93" s="143"/>
      <c r="C93" s="57"/>
      <c r="D93" s="205">
        <f>SUM(D91:D92)</f>
        <v>3089374.0649999999</v>
      </c>
      <c r="E93" s="213"/>
      <c r="F93" s="143"/>
      <c r="G93" s="143"/>
      <c r="H93" s="205">
        <f>SUM(H91:H92)</f>
        <v>2413705</v>
      </c>
      <c r="I93" s="143"/>
      <c r="J93" s="205">
        <f>SUM(J91:J92)</f>
        <v>2066680.0000000002</v>
      </c>
      <c r="K93" s="67"/>
      <c r="L93" s="143"/>
      <c r="M93" s="143"/>
      <c r="N93" s="205">
        <f>SUM(N91:N92)</f>
        <v>2413705</v>
      </c>
      <c r="O93" s="143"/>
      <c r="P93" s="205">
        <f>SUM(P91:P92)</f>
        <v>1951005.0000000002</v>
      </c>
      <c r="BM93" s="67"/>
    </row>
    <row r="94" spans="1:65" hidden="1" x14ac:dyDescent="0.25">
      <c r="A94" s="214"/>
      <c r="B94" s="149"/>
      <c r="C94" s="88"/>
      <c r="D94" s="215"/>
      <c r="E94" s="149"/>
      <c r="F94" s="149"/>
      <c r="G94" s="149"/>
      <c r="H94" s="215"/>
      <c r="I94" s="149"/>
      <c r="J94" s="215"/>
      <c r="K94" s="67"/>
      <c r="L94" s="149"/>
      <c r="M94" s="149"/>
      <c r="N94" s="215"/>
      <c r="O94" s="149"/>
      <c r="P94" s="215"/>
      <c r="BM94" s="67"/>
    </row>
    <row r="95" spans="1:65" hidden="1" x14ac:dyDescent="0.25">
      <c r="A95" s="208" t="s">
        <v>65</v>
      </c>
      <c r="B95" s="209"/>
      <c r="C95" s="210"/>
      <c r="D95" s="211"/>
      <c r="E95" s="149"/>
      <c r="F95" s="209"/>
      <c r="G95" s="209"/>
      <c r="H95" s="211"/>
      <c r="I95" s="209"/>
      <c r="J95" s="211"/>
      <c r="K95" s="67"/>
      <c r="L95" s="209"/>
      <c r="M95" s="209"/>
      <c r="N95" s="211"/>
      <c r="O95" s="209"/>
      <c r="P95" s="211"/>
      <c r="BM95" s="67"/>
    </row>
    <row r="96" spans="1:65" hidden="1" x14ac:dyDescent="0.25">
      <c r="A96" s="98" t="s">
        <v>39</v>
      </c>
      <c r="B96" s="152"/>
      <c r="C96" s="98"/>
      <c r="D96" s="216">
        <f>+M25</f>
        <v>-1719042</v>
      </c>
      <c r="E96" s="188"/>
      <c r="F96" s="152"/>
      <c r="G96" s="152"/>
      <c r="H96" s="216">
        <f>+M54</f>
        <v>-2410775</v>
      </c>
      <c r="I96" s="152"/>
      <c r="J96" s="216">
        <f>+AE54</f>
        <v>-2049375</v>
      </c>
      <c r="K96" s="67"/>
      <c r="L96" s="152"/>
      <c r="M96" s="152"/>
      <c r="N96" s="216">
        <f>+H96</f>
        <v>-2410775</v>
      </c>
      <c r="O96" s="152"/>
      <c r="P96" s="216">
        <f>+N96</f>
        <v>-2410775</v>
      </c>
      <c r="BM96" s="67"/>
    </row>
    <row r="97" spans="1:65" hidden="1" x14ac:dyDescent="0.25">
      <c r="A97" s="98" t="s">
        <v>40</v>
      </c>
      <c r="B97" s="152"/>
      <c r="C97" s="98"/>
      <c r="D97" s="216">
        <f>+M26</f>
        <v>-64101</v>
      </c>
      <c r="E97" s="188"/>
      <c r="F97" s="152"/>
      <c r="G97" s="152"/>
      <c r="H97" s="216">
        <f>+M55</f>
        <v>-132416.53</v>
      </c>
      <c r="I97" s="152"/>
      <c r="J97" s="216">
        <f>+AE55</f>
        <v>-132416.53</v>
      </c>
      <c r="K97" s="67"/>
      <c r="L97" s="152"/>
      <c r="M97" s="152"/>
      <c r="N97" s="216">
        <f t="shared" ref="N97:N99" si="91">+H97</f>
        <v>-132416.53</v>
      </c>
      <c r="O97" s="152"/>
      <c r="P97" s="216">
        <f t="shared" ref="P97:P99" si="92">+N97</f>
        <v>-132416.53</v>
      </c>
      <c r="BM97" s="67"/>
    </row>
    <row r="98" spans="1:65" hidden="1" x14ac:dyDescent="0.25">
      <c r="A98" s="98" t="s">
        <v>47</v>
      </c>
      <c r="B98" s="152"/>
      <c r="C98" s="98"/>
      <c r="D98" s="217"/>
      <c r="E98" s="176"/>
      <c r="F98" s="152"/>
      <c r="G98" s="152"/>
      <c r="H98" s="216">
        <f>+M56</f>
        <v>251224.2</v>
      </c>
      <c r="I98" s="152"/>
      <c r="J98" s="216">
        <f>+AE56</f>
        <v>251224.2</v>
      </c>
      <c r="K98" s="67"/>
      <c r="L98" s="152"/>
      <c r="M98" s="152"/>
      <c r="N98" s="216">
        <f t="shared" si="91"/>
        <v>251224.2</v>
      </c>
      <c r="O98" s="152"/>
      <c r="P98" s="216">
        <f t="shared" si="92"/>
        <v>251224.2</v>
      </c>
      <c r="BM98" s="67"/>
    </row>
    <row r="99" spans="1:65" hidden="1" x14ac:dyDescent="0.25">
      <c r="A99" s="98" t="s">
        <v>48</v>
      </c>
      <c r="B99" s="152"/>
      <c r="C99" s="98"/>
      <c r="D99" s="216">
        <f>-'[2]Yanchep-Two Rocks'!I64-'[2]Yanchep-Two Rocks'!I63-'[2]Yanchep-Two Rocks'!I48</f>
        <v>96266.85</v>
      </c>
      <c r="E99" s="188"/>
      <c r="F99" s="152"/>
      <c r="G99" s="152"/>
      <c r="H99" s="216">
        <f>+M57</f>
        <v>195213</v>
      </c>
      <c r="I99" s="152"/>
      <c r="J99" s="216">
        <f>+AE57</f>
        <v>195213</v>
      </c>
      <c r="K99" s="67"/>
      <c r="L99" s="152"/>
      <c r="M99" s="152"/>
      <c r="N99" s="216">
        <f t="shared" si="91"/>
        <v>195213</v>
      </c>
      <c r="O99" s="152"/>
      <c r="P99" s="216">
        <f t="shared" si="92"/>
        <v>195213</v>
      </c>
      <c r="BM99" s="67"/>
    </row>
    <row r="100" spans="1:65" hidden="1" x14ac:dyDescent="0.25">
      <c r="A100" s="57" t="s">
        <v>41</v>
      </c>
      <c r="B100" s="143"/>
      <c r="C100" s="57"/>
      <c r="D100" s="205">
        <f>SUM(D96:D99)</f>
        <v>-1686876.15</v>
      </c>
      <c r="E100" s="213"/>
      <c r="F100" s="143"/>
      <c r="G100" s="143"/>
      <c r="H100" s="205">
        <f>SUM(H96:H99)</f>
        <v>-2096754.3299999996</v>
      </c>
      <c r="I100" s="143"/>
      <c r="J100" s="205">
        <f>SUM(J96:J99)</f>
        <v>-1735354.3299999998</v>
      </c>
      <c r="K100" s="67"/>
      <c r="L100" s="143"/>
      <c r="M100" s="143"/>
      <c r="N100" s="205">
        <f>SUM(N96:N99)</f>
        <v>-2096754.3299999996</v>
      </c>
      <c r="O100" s="143"/>
      <c r="P100" s="205">
        <f>SUM(P96:P99)</f>
        <v>-2096754.3299999996</v>
      </c>
      <c r="BM100" s="67"/>
    </row>
    <row r="101" spans="1:65" hidden="1" x14ac:dyDescent="0.25">
      <c r="A101" s="206"/>
      <c r="B101" s="69"/>
      <c r="C101" s="68"/>
      <c r="D101" s="70"/>
      <c r="E101" s="207"/>
      <c r="F101" s="69"/>
      <c r="G101" s="69"/>
      <c r="H101" s="70"/>
      <c r="I101" s="69"/>
      <c r="J101" s="70"/>
      <c r="K101" s="67"/>
      <c r="L101" s="69"/>
      <c r="M101" s="69"/>
      <c r="N101" s="70"/>
      <c r="O101" s="69"/>
      <c r="P101" s="70"/>
      <c r="BM101" s="67"/>
    </row>
    <row r="102" spans="1:65" ht="15.75" hidden="1" thickBot="1" x14ac:dyDescent="0.3">
      <c r="A102" s="110" t="s">
        <v>42</v>
      </c>
      <c r="B102" s="218"/>
      <c r="C102" s="219"/>
      <c r="D102" s="220">
        <f>SUM(D88+D93+D100)/D77</f>
        <v>2779.9988943528747</v>
      </c>
      <c r="E102" s="202"/>
      <c r="F102" s="155"/>
      <c r="G102" s="221"/>
      <c r="H102" s="222">
        <f>SUM(H88+H93+H100)/H77</f>
        <v>3484.7985119285981</v>
      </c>
      <c r="I102" s="221"/>
      <c r="J102" s="222">
        <f>SUM(J88+J93+J100)/J77</f>
        <v>5068.3148360956466</v>
      </c>
      <c r="K102" s="67"/>
      <c r="L102" s="155"/>
      <c r="M102" s="221"/>
      <c r="N102" s="222">
        <f>SUM(N88+N93+N100)/N77</f>
        <v>3415.7787137442397</v>
      </c>
      <c r="O102" s="221"/>
      <c r="P102" s="222">
        <f>SUM(P88+P93+P100)/P77</f>
        <v>4733.5122670270348</v>
      </c>
      <c r="BM102" s="67"/>
    </row>
    <row r="103" spans="1:65" hidden="1" x14ac:dyDescent="0.25">
      <c r="A103" s="159"/>
      <c r="B103" s="159"/>
      <c r="C103" s="159"/>
      <c r="G103" s="223"/>
      <c r="H103" s="224"/>
      <c r="I103" s="223"/>
      <c r="J103" s="224"/>
      <c r="K103" s="67"/>
      <c r="M103" s="223"/>
      <c r="N103" s="224"/>
      <c r="O103" s="223"/>
      <c r="P103" s="224"/>
      <c r="BM103" s="67"/>
    </row>
    <row r="104" spans="1:65" hidden="1" x14ac:dyDescent="0.25">
      <c r="A104" s="158" t="s">
        <v>66</v>
      </c>
      <c r="B104" s="158" t="s">
        <v>67</v>
      </c>
      <c r="C104" s="159"/>
      <c r="G104" s="223" t="s">
        <v>68</v>
      </c>
      <c r="H104" s="224"/>
      <c r="I104" s="223" t="s">
        <v>69</v>
      </c>
      <c r="J104" s="224"/>
      <c r="K104" s="67"/>
      <c r="M104" s="223" t="s">
        <v>68</v>
      </c>
      <c r="N104" s="224"/>
      <c r="O104" s="223" t="s">
        <v>70</v>
      </c>
      <c r="P104" s="224"/>
      <c r="BM104" s="67"/>
    </row>
    <row r="105" spans="1:65" hidden="1" x14ac:dyDescent="0.25">
      <c r="A105" s="158"/>
      <c r="B105" s="158" t="s">
        <v>71</v>
      </c>
      <c r="C105" s="159"/>
      <c r="G105" s="223" t="s">
        <v>72</v>
      </c>
      <c r="H105" s="224"/>
      <c r="I105" s="223" t="s">
        <v>73</v>
      </c>
      <c r="J105" s="224"/>
      <c r="K105" s="67"/>
      <c r="M105" s="223" t="s">
        <v>72</v>
      </c>
      <c r="N105" s="224"/>
      <c r="O105" s="223" t="s">
        <v>74</v>
      </c>
      <c r="P105" s="224"/>
      <c r="BM105" s="67"/>
    </row>
    <row r="106" spans="1:65" hidden="1" x14ac:dyDescent="0.25">
      <c r="A106" s="158"/>
      <c r="B106" s="158" t="s">
        <v>75</v>
      </c>
      <c r="C106" s="159"/>
      <c r="G106" s="223" t="s">
        <v>76</v>
      </c>
      <c r="H106" s="224"/>
      <c r="I106" s="223" t="s">
        <v>77</v>
      </c>
      <c r="J106" s="224"/>
      <c r="K106" s="67"/>
      <c r="M106" s="223" t="s">
        <v>76</v>
      </c>
      <c r="N106" s="224"/>
      <c r="O106" s="223" t="s">
        <v>77</v>
      </c>
      <c r="P106" s="224"/>
      <c r="BM106" s="67"/>
    </row>
    <row r="107" spans="1:65" ht="15.75" hidden="1" thickBot="1" x14ac:dyDescent="0.3">
      <c r="A107" s="158"/>
      <c r="B107" s="158"/>
      <c r="C107" s="159"/>
      <c r="G107" s="225"/>
      <c r="H107" s="226"/>
      <c r="I107" s="225"/>
      <c r="J107" s="226"/>
      <c r="K107" s="67"/>
      <c r="M107" s="225"/>
      <c r="N107" s="226"/>
      <c r="O107" s="225"/>
      <c r="P107" s="226"/>
      <c r="BM107" s="67"/>
    </row>
    <row r="108" spans="1:65" hidden="1" x14ac:dyDescent="0.25">
      <c r="A108" s="159"/>
      <c r="B108" s="159"/>
      <c r="C108" s="159"/>
      <c r="D108" s="159"/>
      <c r="E108" s="159"/>
      <c r="F108" s="159"/>
      <c r="G108" s="159"/>
      <c r="H108" s="159"/>
      <c r="I108" s="159"/>
      <c r="K108" s="67"/>
      <c r="L108" s="159"/>
      <c r="M108" s="159"/>
      <c r="N108" s="159"/>
      <c r="O108" s="159"/>
      <c r="BM108" s="67"/>
    </row>
    <row r="109" spans="1:65" hidden="1" x14ac:dyDescent="0.25">
      <c r="C109" s="159"/>
      <c r="E109" s="159"/>
      <c r="F109" s="159"/>
      <c r="G109" s="159"/>
      <c r="H109" s="159"/>
      <c r="I109" s="159" t="s">
        <v>78</v>
      </c>
      <c r="K109" s="67"/>
      <c r="L109" s="159"/>
      <c r="M109" s="159"/>
      <c r="N109" s="159"/>
      <c r="O109" s="159" t="s">
        <v>78</v>
      </c>
      <c r="BM109" s="67"/>
    </row>
    <row r="110" spans="1:65" hidden="1" x14ac:dyDescent="0.25">
      <c r="C110" s="159"/>
      <c r="E110" s="159"/>
      <c r="F110" s="159"/>
      <c r="G110" s="159"/>
      <c r="H110" s="159"/>
      <c r="I110" s="227">
        <f>+I81+I84+I85+I86-K8-K11-K12-K13</f>
        <v>2433599.8795783496</v>
      </c>
      <c r="J110" s="227" t="s">
        <v>79</v>
      </c>
      <c r="K110" s="67"/>
      <c r="L110" s="159"/>
      <c r="M110" s="159"/>
      <c r="N110" s="159"/>
      <c r="O110" s="227">
        <f>+O81+O84+O85+O86-K8-K11-K12-K13</f>
        <v>1960780.0506235478</v>
      </c>
      <c r="P110" s="227" t="s">
        <v>79</v>
      </c>
      <c r="BM110" s="67"/>
    </row>
    <row r="111" spans="1:65" hidden="1" x14ac:dyDescent="0.25">
      <c r="C111" s="159"/>
      <c r="E111" s="159"/>
      <c r="F111" s="159"/>
      <c r="G111" s="159"/>
      <c r="H111" s="159"/>
      <c r="I111" s="227">
        <f>+I87-K14</f>
        <v>955675.73014883231</v>
      </c>
      <c r="J111" s="227" t="s">
        <v>80</v>
      </c>
      <c r="K111" s="67"/>
      <c r="L111" s="159"/>
      <c r="M111" s="159"/>
      <c r="N111" s="159"/>
      <c r="O111" s="227">
        <f>+O87-K14</f>
        <v>955675.73014883231</v>
      </c>
      <c r="P111" s="227" t="s">
        <v>80</v>
      </c>
      <c r="BM111" s="67"/>
    </row>
    <row r="112" spans="1:65" hidden="1" x14ac:dyDescent="0.25">
      <c r="C112" s="159"/>
      <c r="E112" s="159"/>
      <c r="F112" s="159"/>
      <c r="G112" s="159"/>
      <c r="H112" s="159"/>
      <c r="I112" s="227">
        <f>+I82-K9</f>
        <v>357908.05090578529</v>
      </c>
      <c r="J112" s="227" t="s">
        <v>81</v>
      </c>
      <c r="K112" s="67"/>
      <c r="L112" s="159"/>
      <c r="M112" s="159"/>
      <c r="N112" s="159"/>
      <c r="O112" s="227">
        <f>+O82-K9</f>
        <v>357908.05090578529</v>
      </c>
      <c r="P112" s="227" t="s">
        <v>81</v>
      </c>
      <c r="BM112" s="67"/>
    </row>
    <row r="113" spans="1:65" ht="15.75" hidden="1" thickBot="1" x14ac:dyDescent="0.3">
      <c r="I113" s="228">
        <f>SUM(I110:I112)</f>
        <v>3747183.660632967</v>
      </c>
      <c r="K113" s="67"/>
      <c r="O113" s="228">
        <f>SUM(O110:O112)</f>
        <v>3274363.8316781651</v>
      </c>
      <c r="BM113" s="67"/>
    </row>
    <row r="114" spans="1:65" ht="15.75" hidden="1" thickBot="1" x14ac:dyDescent="0.3">
      <c r="A114" s="229"/>
      <c r="B114" s="230"/>
      <c r="C114" s="436" t="s">
        <v>82</v>
      </c>
      <c r="D114" s="437"/>
      <c r="E114" s="438"/>
      <c r="F114" s="231"/>
      <c r="K114" s="67"/>
      <c r="BM114" s="67"/>
    </row>
    <row r="115" spans="1:65" ht="30.75" hidden="1" thickBot="1" x14ac:dyDescent="0.3">
      <c r="A115" s="69"/>
      <c r="B115" s="232" t="s">
        <v>83</v>
      </c>
      <c r="C115" s="233" t="s">
        <v>79</v>
      </c>
      <c r="D115" s="234" t="s">
        <v>80</v>
      </c>
      <c r="E115" s="235" t="s">
        <v>81</v>
      </c>
      <c r="F115" s="236" t="s">
        <v>84</v>
      </c>
      <c r="K115" s="67"/>
      <c r="BM115" s="67"/>
    </row>
    <row r="116" spans="1:65" hidden="1" x14ac:dyDescent="0.25">
      <c r="A116" s="237" t="s">
        <v>21</v>
      </c>
      <c r="B116" s="238"/>
      <c r="C116" s="239"/>
      <c r="D116" s="240"/>
      <c r="E116" s="241"/>
      <c r="F116" s="238"/>
      <c r="K116" s="67"/>
      <c r="BM116" s="67"/>
    </row>
    <row r="117" spans="1:65" ht="28.5" hidden="1" x14ac:dyDescent="0.25">
      <c r="A117" s="242" t="s">
        <v>22</v>
      </c>
      <c r="B117" s="243">
        <f>+C81</f>
        <v>1817496.2579895949</v>
      </c>
      <c r="C117" s="244">
        <f>+I81-C81</f>
        <v>1437804.9435640771</v>
      </c>
      <c r="D117" s="194"/>
      <c r="E117" s="194"/>
      <c r="F117" s="243">
        <f>SUM(B117:E117)</f>
        <v>3255301.2015536721</v>
      </c>
      <c r="K117" s="67"/>
      <c r="L117" s="67"/>
      <c r="BM117" s="67"/>
    </row>
    <row r="118" spans="1:65" ht="28.5" hidden="1" x14ac:dyDescent="0.25">
      <c r="A118" s="137" t="s">
        <v>23</v>
      </c>
      <c r="B118" s="243">
        <f t="shared" ref="B118:B123" si="93">+C82</f>
        <v>641013.12904124858</v>
      </c>
      <c r="C118" s="244"/>
      <c r="D118" s="194"/>
      <c r="E118" s="194">
        <f>+I82-C82</f>
        <v>357908.05090578529</v>
      </c>
      <c r="F118" s="243">
        <f t="shared" ref="F118:F123" si="94">SUM(B118:E118)</f>
        <v>998921.17994703387</v>
      </c>
      <c r="K118" s="67"/>
      <c r="L118" s="67"/>
      <c r="BM118" s="67"/>
    </row>
    <row r="119" spans="1:65" ht="15" hidden="1" customHeight="1" x14ac:dyDescent="0.25">
      <c r="A119" s="137" t="s">
        <v>24</v>
      </c>
      <c r="B119" s="243">
        <f t="shared" si="93"/>
        <v>0</v>
      </c>
      <c r="C119" s="244"/>
      <c r="D119" s="194"/>
      <c r="E119" s="194"/>
      <c r="F119" s="243">
        <f t="shared" si="94"/>
        <v>0</v>
      </c>
      <c r="K119" s="67"/>
      <c r="BM119" s="67"/>
    </row>
    <row r="120" spans="1:65" hidden="1" x14ac:dyDescent="0.25">
      <c r="A120" s="245" t="s">
        <v>25</v>
      </c>
      <c r="B120" s="243">
        <f t="shared" si="93"/>
        <v>763683.79319955409</v>
      </c>
      <c r="C120" s="244">
        <f>+I84-C84</f>
        <v>490239.03787389211</v>
      </c>
      <c r="D120" s="194"/>
      <c r="E120" s="194"/>
      <c r="F120" s="243">
        <f t="shared" si="94"/>
        <v>1253922.8310734462</v>
      </c>
      <c r="K120" s="67"/>
      <c r="BM120" s="67"/>
    </row>
    <row r="121" spans="1:65" hidden="1" x14ac:dyDescent="0.25">
      <c r="A121" s="245" t="s">
        <v>26</v>
      </c>
      <c r="B121" s="243">
        <f t="shared" si="93"/>
        <v>1385011.5781308063</v>
      </c>
      <c r="C121" s="244">
        <f>+I85-C85</f>
        <v>505555.89814038016</v>
      </c>
      <c r="D121" s="194"/>
      <c r="E121" s="194"/>
      <c r="F121" s="243">
        <f t="shared" si="94"/>
        <v>1890567.4762711865</v>
      </c>
      <c r="K121" s="67"/>
      <c r="BM121" s="67"/>
    </row>
    <row r="122" spans="1:65" hidden="1" x14ac:dyDescent="0.25">
      <c r="A122" s="245" t="s">
        <v>27</v>
      </c>
      <c r="B122" s="243">
        <f t="shared" si="93"/>
        <v>1191518</v>
      </c>
      <c r="C122" s="244">
        <f>+I86-C86</f>
        <v>0</v>
      </c>
      <c r="D122" s="194"/>
      <c r="E122" s="194"/>
      <c r="F122" s="243">
        <f t="shared" si="94"/>
        <v>1191518</v>
      </c>
      <c r="K122" s="67"/>
      <c r="BM122" s="67"/>
    </row>
    <row r="123" spans="1:65" ht="15.75" hidden="1" thickBot="1" x14ac:dyDescent="0.3">
      <c r="A123" s="246" t="s">
        <v>30</v>
      </c>
      <c r="B123" s="247">
        <f t="shared" si="93"/>
        <v>1836640.6540319584</v>
      </c>
      <c r="C123" s="248"/>
      <c r="D123" s="249">
        <f>+I87-C87</f>
        <v>955675.73014883231</v>
      </c>
      <c r="E123" s="249"/>
      <c r="F123" s="247">
        <f t="shared" si="94"/>
        <v>2792316.3841807907</v>
      </c>
      <c r="K123" s="67"/>
      <c r="L123" s="67"/>
      <c r="BM123" s="67"/>
    </row>
    <row r="124" spans="1:65" ht="15.75" hidden="1" thickBot="1" x14ac:dyDescent="0.3">
      <c r="A124" s="250"/>
      <c r="B124" s="251">
        <f>SUM(B117:B123)</f>
        <v>7635363.412393162</v>
      </c>
      <c r="C124" s="252">
        <f>SUM(C117:C123)</f>
        <v>2433599.8795783492</v>
      </c>
      <c r="D124" s="252">
        <f t="shared" ref="D124:E124" si="95">SUM(D117:D123)</f>
        <v>955675.73014883231</v>
      </c>
      <c r="E124" s="252">
        <f t="shared" si="95"/>
        <v>357908.05090578529</v>
      </c>
      <c r="F124" s="251">
        <f>SUM(F117:F123)</f>
        <v>11382547.073026128</v>
      </c>
      <c r="K124" s="67"/>
      <c r="BM124" s="67"/>
    </row>
    <row r="125" spans="1:65" hidden="1" x14ac:dyDescent="0.25">
      <c r="K125" s="67"/>
      <c r="BM125" s="67"/>
    </row>
    <row r="126" spans="1:65" hidden="1" x14ac:dyDescent="0.25">
      <c r="K126" s="67"/>
      <c r="BM126" s="67"/>
    </row>
    <row r="127" spans="1:65" ht="15.75" hidden="1" thickBot="1" x14ac:dyDescent="0.3">
      <c r="K127" s="67"/>
      <c r="BM127" s="67"/>
    </row>
    <row r="128" spans="1:65" ht="45" hidden="1" customHeight="1" thickBot="1" x14ac:dyDescent="0.3">
      <c r="C128" s="233" t="s">
        <v>52</v>
      </c>
      <c r="D128" s="233" t="s">
        <v>85</v>
      </c>
      <c r="E128" s="234" t="s">
        <v>86</v>
      </c>
      <c r="F128" s="235" t="s">
        <v>87</v>
      </c>
      <c r="K128" s="67"/>
      <c r="BM128" s="67"/>
    </row>
    <row r="129" spans="1:65" ht="38.25" hidden="1" customHeight="1" x14ac:dyDescent="0.25">
      <c r="A129" s="253" t="s">
        <v>88</v>
      </c>
      <c r="B129" s="254" t="s">
        <v>89</v>
      </c>
      <c r="C129" s="255">
        <f>+K15</f>
        <v>7635363.412393162</v>
      </c>
      <c r="D129" s="255">
        <f>+G88</f>
        <v>8651953.6788102984</v>
      </c>
      <c r="E129" s="255">
        <f>+I88</f>
        <v>11382547.073026128</v>
      </c>
      <c r="F129" s="256">
        <f>+BM46</f>
        <v>7469530.7108046552</v>
      </c>
      <c r="K129" s="67"/>
      <c r="BM129" s="67"/>
    </row>
    <row r="130" spans="1:65" hidden="1" x14ac:dyDescent="0.25">
      <c r="A130" s="257"/>
      <c r="B130" s="258" t="s">
        <v>90</v>
      </c>
      <c r="C130" s="258">
        <f>+D130</f>
        <v>3089</v>
      </c>
      <c r="D130" s="258">
        <f>+G75</f>
        <v>3089</v>
      </c>
      <c r="E130" s="258">
        <f>+D130</f>
        <v>3089</v>
      </c>
      <c r="F130" s="259">
        <f>+D130</f>
        <v>3089</v>
      </c>
      <c r="K130" s="67"/>
      <c r="BM130" s="67"/>
    </row>
    <row r="131" spans="1:65" hidden="1" x14ac:dyDescent="0.25">
      <c r="A131" s="257"/>
      <c r="B131" s="260"/>
      <c r="C131" s="261"/>
      <c r="D131" s="261"/>
      <c r="E131" s="261"/>
      <c r="F131" s="262"/>
      <c r="K131" s="67"/>
      <c r="BM131" s="67"/>
    </row>
    <row r="132" spans="1:65" ht="29.25" hidden="1" customHeight="1" x14ac:dyDescent="0.25">
      <c r="A132" s="263" t="s">
        <v>91</v>
      </c>
      <c r="B132" s="264" t="s">
        <v>89</v>
      </c>
      <c r="C132" s="265">
        <f>+M15</f>
        <v>17448674.58760684</v>
      </c>
      <c r="D132" s="265">
        <f>+H88</f>
        <v>16974619.546189703</v>
      </c>
      <c r="E132" s="265">
        <f>+J88</f>
        <v>14604998.15197387</v>
      </c>
      <c r="F132" s="266">
        <f>+BO46</f>
        <v>18157042.514195342</v>
      </c>
      <c r="K132" s="67"/>
      <c r="BM132" s="67"/>
    </row>
    <row r="133" spans="1:65" ht="30" hidden="1" x14ac:dyDescent="0.25">
      <c r="A133" s="267"/>
      <c r="B133" s="264" t="s">
        <v>92</v>
      </c>
      <c r="C133" s="265">
        <f>+M18+M19+M20+M21</f>
        <v>3185640.915</v>
      </c>
      <c r="D133" s="265">
        <f>+H91+H92+H98+H99</f>
        <v>2860142.2</v>
      </c>
      <c r="E133" s="265">
        <f>+J91+J92+J98+J99</f>
        <v>2513117.2000000002</v>
      </c>
      <c r="F133" s="266">
        <f>+BO49+BO50+BO56+BO57</f>
        <v>5358682.2</v>
      </c>
      <c r="K133" s="67"/>
      <c r="BM133" s="67"/>
    </row>
    <row r="134" spans="1:65" hidden="1" x14ac:dyDescent="0.25">
      <c r="A134" s="267"/>
      <c r="B134" s="268"/>
      <c r="C134" s="269">
        <f>SUM(C132:C133)</f>
        <v>20634315.502606839</v>
      </c>
      <c r="D134" s="269">
        <f>SUM(D132:D133)</f>
        <v>19834761.746189702</v>
      </c>
      <c r="E134" s="269">
        <f>SUM(E132:E133)</f>
        <v>17118115.351973869</v>
      </c>
      <c r="F134" s="270">
        <f>SUM(F132:F133)</f>
        <v>23515724.714195341</v>
      </c>
      <c r="K134" s="67"/>
      <c r="BM134" s="67"/>
    </row>
    <row r="135" spans="1:65" hidden="1" x14ac:dyDescent="0.25">
      <c r="A135" s="267"/>
      <c r="B135" s="264" t="s">
        <v>90</v>
      </c>
      <c r="C135" s="271">
        <f>+H8+G8+F8</f>
        <v>7675</v>
      </c>
      <c r="D135" s="272">
        <f>+H78</f>
        <v>6136</v>
      </c>
      <c r="E135" s="272">
        <f>+J78</f>
        <v>3991</v>
      </c>
      <c r="F135" s="273">
        <f>+BJ45+BI45+BH45</f>
        <v>7779</v>
      </c>
      <c r="K135" s="67"/>
      <c r="BM135" s="67"/>
    </row>
    <row r="136" spans="1:65" ht="15.75" hidden="1" thickBot="1" x14ac:dyDescent="0.3">
      <c r="A136" s="274"/>
      <c r="B136" s="275" t="s">
        <v>93</v>
      </c>
      <c r="C136" s="276">
        <f>+O29</f>
        <v>2779.9988943528738</v>
      </c>
      <c r="D136" s="276">
        <f>+H102</f>
        <v>3484.7985119285981</v>
      </c>
      <c r="E136" s="276">
        <f>+J102</f>
        <v>5068.3148360956466</v>
      </c>
      <c r="F136" s="277">
        <f>+BQ60</f>
        <v>3175.2510498403244</v>
      </c>
      <c r="K136" s="67"/>
      <c r="BM136" s="67"/>
    </row>
    <row r="137" spans="1:65" hidden="1" x14ac:dyDescent="0.25">
      <c r="B137" s="278"/>
      <c r="C137" s="279"/>
      <c r="D137" s="279"/>
      <c r="E137" s="279"/>
      <c r="F137" s="279"/>
      <c r="K137" s="67"/>
      <c r="BM137" s="67"/>
    </row>
    <row r="138" spans="1:65" hidden="1" x14ac:dyDescent="0.25">
      <c r="B138" s="280" t="s">
        <v>94</v>
      </c>
      <c r="C138" s="279">
        <f>+I8</f>
        <v>10764</v>
      </c>
      <c r="D138">
        <f>+D135+D130</f>
        <v>9225</v>
      </c>
      <c r="E138">
        <f>+E135+E130</f>
        <v>7080</v>
      </c>
      <c r="F138">
        <f>+F135+F130</f>
        <v>10868</v>
      </c>
      <c r="K138" s="67"/>
      <c r="BM138" s="67"/>
    </row>
    <row r="139" spans="1:65" hidden="1" x14ac:dyDescent="0.25">
      <c r="K139" s="67"/>
      <c r="BM139" s="67"/>
    </row>
    <row r="140" spans="1:65" hidden="1" x14ac:dyDescent="0.25">
      <c r="K140" s="67"/>
      <c r="BM140" s="67"/>
    </row>
    <row r="141" spans="1:65" ht="15" hidden="1" customHeight="1" thickBot="1" x14ac:dyDescent="0.3">
      <c r="A141" s="449" t="s">
        <v>95</v>
      </c>
      <c r="B141" s="449"/>
      <c r="C141" s="449"/>
      <c r="D141" s="449"/>
      <c r="E141" s="449"/>
      <c r="F141" s="449"/>
      <c r="G141" s="449"/>
      <c r="H141" s="449"/>
      <c r="K141" s="67"/>
      <c r="BM141" s="67"/>
    </row>
    <row r="142" spans="1:65" s="283" customFormat="1" ht="15.75" hidden="1" thickBot="1" x14ac:dyDescent="0.3">
      <c r="A142" s="281"/>
      <c r="B142" s="450" t="s">
        <v>96</v>
      </c>
      <c r="C142" s="451"/>
      <c r="D142" s="452"/>
      <c r="E142" s="453" t="s">
        <v>97</v>
      </c>
      <c r="F142" s="454"/>
      <c r="G142" s="455"/>
      <c r="H142" s="282"/>
      <c r="K142" s="67"/>
      <c r="BM142" s="67"/>
    </row>
    <row r="143" spans="1:65" s="283" customFormat="1" hidden="1" x14ac:dyDescent="0.25">
      <c r="A143" s="281"/>
      <c r="B143" s="284" t="s">
        <v>98</v>
      </c>
      <c r="C143" s="285" t="s">
        <v>99</v>
      </c>
      <c r="D143" s="286" t="s">
        <v>100</v>
      </c>
      <c r="E143" s="287" t="s">
        <v>98</v>
      </c>
      <c r="F143" s="288" t="s">
        <v>99</v>
      </c>
      <c r="G143" s="289" t="s">
        <v>100</v>
      </c>
      <c r="H143" s="290" t="s">
        <v>42</v>
      </c>
      <c r="K143" s="67"/>
      <c r="BM143" s="67"/>
    </row>
    <row r="144" spans="1:65" ht="30" hidden="1" x14ac:dyDescent="0.25">
      <c r="A144" s="291" t="s">
        <v>22</v>
      </c>
      <c r="B144" s="292">
        <v>1317804</v>
      </c>
      <c r="C144" s="293">
        <v>868789</v>
      </c>
      <c r="D144" s="294"/>
      <c r="E144" s="295">
        <f>(+C81+323700)-C144-B144</f>
        <v>-45396.742010405287</v>
      </c>
      <c r="F144" s="296"/>
      <c r="G144" s="297"/>
      <c r="H144" s="298">
        <f>SUM(B144:G144)</f>
        <v>2141196.2579895947</v>
      </c>
      <c r="K144" s="67"/>
      <c r="BM144" s="67"/>
    </row>
    <row r="145" spans="1:65" ht="30" hidden="1" x14ac:dyDescent="0.25">
      <c r="A145" s="291" t="s">
        <v>23</v>
      </c>
      <c r="B145" s="292"/>
      <c r="C145" s="293"/>
      <c r="D145" s="294"/>
      <c r="E145" s="295">
        <f>+B118</f>
        <v>641013.12904124858</v>
      </c>
      <c r="F145" s="296"/>
      <c r="G145" s="297"/>
      <c r="H145" s="298">
        <f t="shared" ref="H145:H150" si="96">SUM(B145:G145)</f>
        <v>641013.12904124858</v>
      </c>
      <c r="K145" s="67"/>
      <c r="BM145" s="67"/>
    </row>
    <row r="146" spans="1:65" ht="30" hidden="1" x14ac:dyDescent="0.25">
      <c r="A146" s="291" t="s">
        <v>24</v>
      </c>
      <c r="B146" s="292"/>
      <c r="C146" s="293"/>
      <c r="D146" s="294"/>
      <c r="E146" s="295"/>
      <c r="F146" s="296"/>
      <c r="G146" s="297"/>
      <c r="H146" s="298">
        <f t="shared" si="96"/>
        <v>0</v>
      </c>
      <c r="K146" s="67"/>
      <c r="BM146" s="67"/>
    </row>
    <row r="147" spans="1:65" hidden="1" x14ac:dyDescent="0.25">
      <c r="A147" s="291" t="s">
        <v>25</v>
      </c>
      <c r="B147" s="292">
        <v>824837</v>
      </c>
      <c r="C147" s="293"/>
      <c r="D147" s="294"/>
      <c r="E147" s="295"/>
      <c r="F147" s="296"/>
      <c r="G147" s="297"/>
      <c r="H147" s="298">
        <f t="shared" si="96"/>
        <v>824837</v>
      </c>
      <c r="K147" s="67"/>
      <c r="BM147" s="67"/>
    </row>
    <row r="148" spans="1:65" hidden="1" x14ac:dyDescent="0.25">
      <c r="A148" s="291" t="s">
        <v>26</v>
      </c>
      <c r="B148" s="292">
        <v>1113141</v>
      </c>
      <c r="C148" s="293">
        <v>56460</v>
      </c>
      <c r="D148" s="294"/>
      <c r="E148" s="295">
        <f>+B121-B148-C148</f>
        <v>215410.57813080633</v>
      </c>
      <c r="F148" s="296"/>
      <c r="G148" s="297"/>
      <c r="H148" s="298">
        <f t="shared" si="96"/>
        <v>1385011.5781308063</v>
      </c>
      <c r="K148" s="67"/>
      <c r="BM148" s="67"/>
    </row>
    <row r="149" spans="1:65" hidden="1" x14ac:dyDescent="0.25">
      <c r="A149" s="291" t="s">
        <v>27</v>
      </c>
      <c r="B149" s="292">
        <v>41514</v>
      </c>
      <c r="C149" s="293"/>
      <c r="D149" s="294">
        <v>422723</v>
      </c>
      <c r="E149" s="295"/>
      <c r="F149" s="296"/>
      <c r="G149" s="297">
        <f>+B122-D149-B149</f>
        <v>727281</v>
      </c>
      <c r="H149" s="298">
        <f t="shared" si="96"/>
        <v>1191518</v>
      </c>
      <c r="K149" s="67"/>
      <c r="BM149" s="67"/>
    </row>
    <row r="150" spans="1:65" ht="15.75" hidden="1" thickBot="1" x14ac:dyDescent="0.3">
      <c r="A150" s="291" t="s">
        <v>30</v>
      </c>
      <c r="B150" s="299"/>
      <c r="C150" s="300"/>
      <c r="D150" s="301"/>
      <c r="E150" s="302"/>
      <c r="F150" s="303"/>
      <c r="G150" s="304">
        <f>+B123</f>
        <v>1836640.6540319584</v>
      </c>
      <c r="H150" s="305">
        <f t="shared" si="96"/>
        <v>1836640.6540319584</v>
      </c>
      <c r="K150" s="67"/>
      <c r="BM150" s="67"/>
    </row>
    <row r="151" spans="1:65" hidden="1" x14ac:dyDescent="0.25">
      <c r="K151" s="67"/>
      <c r="BM151" s="67"/>
    </row>
    <row r="152" spans="1:65" x14ac:dyDescent="0.25">
      <c r="K152" s="67"/>
      <c r="BM152" s="67"/>
    </row>
    <row r="153" spans="1:65" x14ac:dyDescent="0.25">
      <c r="K153" s="67"/>
      <c r="BM153" s="67"/>
    </row>
    <row r="154" spans="1:65" x14ac:dyDescent="0.25">
      <c r="BM154" s="67"/>
    </row>
    <row r="182" spans="1:15" ht="15.75" thickBot="1" x14ac:dyDescent="0.3">
      <c r="A182" t="s">
        <v>187</v>
      </c>
    </row>
    <row r="183" spans="1:15" x14ac:dyDescent="0.25">
      <c r="B183" s="431" t="s">
        <v>0</v>
      </c>
      <c r="C183" s="432"/>
      <c r="D183" s="388"/>
      <c r="E183" s="433" t="s">
        <v>1</v>
      </c>
      <c r="F183" s="434"/>
      <c r="G183" s="434"/>
      <c r="H183" s="434"/>
      <c r="I183" s="435"/>
      <c r="J183" s="433" t="s">
        <v>2</v>
      </c>
      <c r="K183" s="434"/>
      <c r="L183" s="434"/>
      <c r="M183" s="434"/>
      <c r="N183" s="434"/>
      <c r="O183" s="435"/>
    </row>
    <row r="184" spans="1:15" x14ac:dyDescent="0.25">
      <c r="B184" s="2"/>
      <c r="C184" s="2"/>
      <c r="D184" s="2"/>
      <c r="E184" s="3" t="s">
        <v>3</v>
      </c>
      <c r="F184" s="389"/>
      <c r="G184" s="390"/>
      <c r="H184" s="390" t="s">
        <v>4</v>
      </c>
      <c r="I184" s="391"/>
      <c r="J184" s="2"/>
      <c r="K184" s="2"/>
      <c r="L184" s="2"/>
      <c r="M184" s="2"/>
      <c r="N184" s="2"/>
      <c r="O184" s="7"/>
    </row>
    <row r="185" spans="1:15" ht="45" x14ac:dyDescent="0.25">
      <c r="A185" s="8" t="s">
        <v>5</v>
      </c>
      <c r="B185" s="9" t="s">
        <v>6</v>
      </c>
      <c r="C185" s="9" t="s">
        <v>7</v>
      </c>
      <c r="D185" s="9" t="s">
        <v>8</v>
      </c>
      <c r="E185" s="10" t="s">
        <v>9</v>
      </c>
      <c r="F185" s="11" t="s">
        <v>10</v>
      </c>
      <c r="G185" s="11" t="s">
        <v>11</v>
      </c>
      <c r="H185" s="11" t="s">
        <v>12</v>
      </c>
      <c r="I185" s="12" t="s">
        <v>13</v>
      </c>
      <c r="J185" s="10" t="s">
        <v>14</v>
      </c>
      <c r="K185" s="11" t="s">
        <v>15</v>
      </c>
      <c r="L185" s="11" t="s">
        <v>16</v>
      </c>
      <c r="M185" s="11" t="s">
        <v>17</v>
      </c>
      <c r="N185" s="11" t="s">
        <v>18</v>
      </c>
      <c r="O185" s="12" t="s">
        <v>19</v>
      </c>
    </row>
    <row r="186" spans="1:15" x14ac:dyDescent="0.25">
      <c r="A186" s="13" t="s">
        <v>20</v>
      </c>
      <c r="B186" s="14"/>
      <c r="C186" s="14"/>
      <c r="D186" s="15"/>
      <c r="E186" s="16"/>
      <c r="F186" s="15"/>
      <c r="G186" s="15"/>
      <c r="H186" s="15"/>
      <c r="I186" s="17"/>
      <c r="J186" s="16"/>
      <c r="K186" s="15"/>
      <c r="L186" s="15"/>
      <c r="M186" s="15"/>
      <c r="N186" s="18"/>
      <c r="O186" s="19"/>
    </row>
    <row r="187" spans="1:15" x14ac:dyDescent="0.25">
      <c r="A187" s="20" t="s">
        <v>21</v>
      </c>
      <c r="B187" s="21"/>
      <c r="C187" s="21"/>
      <c r="D187" s="22"/>
      <c r="E187" s="23"/>
      <c r="F187" s="22"/>
      <c r="G187" s="22"/>
      <c r="H187" s="22"/>
      <c r="I187" s="24"/>
      <c r="J187" s="25"/>
      <c r="K187" s="22"/>
      <c r="L187" s="22"/>
      <c r="M187" s="22"/>
      <c r="N187" s="26"/>
      <c r="O187" s="27"/>
    </row>
    <row r="188" spans="1:15" ht="28.5" x14ac:dyDescent="0.25">
      <c r="A188" s="28" t="s">
        <v>22</v>
      </c>
      <c r="B188" s="133">
        <f>6833289+1127874</f>
        <v>7961163</v>
      </c>
      <c r="C188" s="29">
        <v>500000</v>
      </c>
      <c r="D188" s="30">
        <f>B188-C188</f>
        <v>7461163</v>
      </c>
      <c r="E188" s="31">
        <v>3089</v>
      </c>
      <c r="F188" s="32">
        <v>541</v>
      </c>
      <c r="G188" s="32">
        <f>+'Revised projections 2018'!$K$18</f>
        <v>633</v>
      </c>
      <c r="H188" s="392">
        <f>+'Revised projections 2018'!$S$18</f>
        <v>4962</v>
      </c>
      <c r="I188" s="33">
        <f>SUM(E188:H188)</f>
        <v>9225</v>
      </c>
      <c r="J188" s="34">
        <v>0.28699999999999998</v>
      </c>
      <c r="K188" s="35">
        <f>D188*J188</f>
        <v>2141353.781</v>
      </c>
      <c r="L188" s="36">
        <v>0.71299999999999997</v>
      </c>
      <c r="M188" s="37">
        <f>L188*D188</f>
        <v>5319809.2189999996</v>
      </c>
      <c r="N188" s="32">
        <f>+H188</f>
        <v>4962</v>
      </c>
      <c r="O188" s="39">
        <f>M188/N188</f>
        <v>1072.1098788794841</v>
      </c>
    </row>
    <row r="189" spans="1:15" ht="28.5" x14ac:dyDescent="0.25">
      <c r="A189" s="40" t="s">
        <v>23</v>
      </c>
      <c r="B189" s="133">
        <f>2233689+(2233689*2.5%)</f>
        <v>2289531.2250000001</v>
      </c>
      <c r="C189" s="29">
        <v>0</v>
      </c>
      <c r="D189" s="41">
        <f>B189-C189</f>
        <v>2289531.2250000001</v>
      </c>
      <c r="E189" s="42">
        <v>3089</v>
      </c>
      <c r="F189" s="43">
        <v>541</v>
      </c>
      <c r="G189" s="32">
        <f>+'Revised projections 2018'!$K$18</f>
        <v>633</v>
      </c>
      <c r="H189" s="392">
        <f>+'Revised projections 2018'!$S$18</f>
        <v>4962</v>
      </c>
      <c r="I189" s="33">
        <f>SUM(E189:H189)</f>
        <v>9225</v>
      </c>
      <c r="J189" s="34">
        <v>0.28699999999999998</v>
      </c>
      <c r="K189" s="35">
        <f t="shared" ref="K189" si="97">D189*J189</f>
        <v>657095.46157499996</v>
      </c>
      <c r="L189" s="36">
        <v>0.71299999999999997</v>
      </c>
      <c r="M189" s="37">
        <f t="shared" ref="M189" si="98">L189*D189</f>
        <v>1632435.763425</v>
      </c>
      <c r="N189" s="32">
        <f>+H189</f>
        <v>4962</v>
      </c>
      <c r="O189" s="39">
        <f>M189/N189</f>
        <v>328.98745736094315</v>
      </c>
    </row>
    <row r="190" spans="1:15" ht="28.5" x14ac:dyDescent="0.25">
      <c r="A190" s="40" t="s">
        <v>24</v>
      </c>
      <c r="B190" s="133"/>
      <c r="C190" s="44"/>
      <c r="D190" s="45"/>
      <c r="E190" s="46"/>
      <c r="F190" s="47"/>
      <c r="G190" s="47"/>
      <c r="H190" s="47"/>
      <c r="I190" s="48"/>
      <c r="J190" s="49"/>
      <c r="K190" s="50"/>
      <c r="L190" s="51"/>
      <c r="M190" s="52"/>
      <c r="N190" s="53"/>
      <c r="O190" s="54"/>
    </row>
    <row r="191" spans="1:15" x14ac:dyDescent="0.25">
      <c r="A191" s="55" t="s">
        <v>25</v>
      </c>
      <c r="B191" s="133">
        <f>2624432.42+55382.74+194180.84</f>
        <v>2873996</v>
      </c>
      <c r="C191" s="29">
        <v>0</v>
      </c>
      <c r="D191" s="41">
        <f t="shared" ref="D191:D193" si="99">B191-C191</f>
        <v>2873996</v>
      </c>
      <c r="E191" s="42">
        <v>3089</v>
      </c>
      <c r="F191" s="43">
        <v>541</v>
      </c>
      <c r="G191" s="32">
        <f>+'Revised projections 2018'!$K$18</f>
        <v>633</v>
      </c>
      <c r="H191" s="392">
        <f>+'Revised projections 2018'!$S$18</f>
        <v>4962</v>
      </c>
      <c r="I191" s="33">
        <f t="shared" ref="I191:I193" si="100">SUM(E191:H191)</f>
        <v>9225</v>
      </c>
      <c r="J191" s="34">
        <v>0.28699999999999998</v>
      </c>
      <c r="K191" s="35">
        <f t="shared" ref="K191:K192" si="101">D191*J191</f>
        <v>824836.85199999996</v>
      </c>
      <c r="L191" s="36">
        <v>0.71299999999999997</v>
      </c>
      <c r="M191" s="37">
        <f t="shared" ref="M191:M192" si="102">L191*D191</f>
        <v>2049159.1479999998</v>
      </c>
      <c r="N191" s="32">
        <f>+H191</f>
        <v>4962</v>
      </c>
      <c r="O191" s="39">
        <f t="shared" ref="O191:O192" si="103">M191/N191</f>
        <v>412.97040467553404</v>
      </c>
    </row>
    <row r="192" spans="1:15" x14ac:dyDescent="0.25">
      <c r="A192" s="55" t="s">
        <v>26</v>
      </c>
      <c r="B192" s="133">
        <v>5308188</v>
      </c>
      <c r="C192" s="29">
        <v>975000</v>
      </c>
      <c r="D192" s="41">
        <f t="shared" si="99"/>
        <v>4333188</v>
      </c>
      <c r="E192" s="42">
        <v>3089</v>
      </c>
      <c r="F192" s="43">
        <v>541</v>
      </c>
      <c r="G192" s="32">
        <f>+'Revised projections 2018'!$K$18</f>
        <v>633</v>
      </c>
      <c r="H192" s="392">
        <f>+'Revised projections 2018'!$S$18</f>
        <v>4962</v>
      </c>
      <c r="I192" s="33">
        <f t="shared" si="100"/>
        <v>9225</v>
      </c>
      <c r="J192" s="34">
        <v>0.28699999999999998</v>
      </c>
      <c r="K192" s="35">
        <f t="shared" si="101"/>
        <v>1243624.956</v>
      </c>
      <c r="L192" s="36">
        <v>0.71299999999999997</v>
      </c>
      <c r="M192" s="37">
        <f t="shared" si="102"/>
        <v>3089563.0439999998</v>
      </c>
      <c r="N192" s="32">
        <f>+H192</f>
        <v>4962</v>
      </c>
      <c r="O192" s="39">
        <f t="shared" si="103"/>
        <v>622.64470858524783</v>
      </c>
    </row>
    <row r="193" spans="1:15" x14ac:dyDescent="0.25">
      <c r="A193" s="55" t="s">
        <v>27</v>
      </c>
      <c r="B193" s="133">
        <v>3039028</v>
      </c>
      <c r="C193" s="29">
        <v>770333</v>
      </c>
      <c r="D193" s="41">
        <f t="shared" si="99"/>
        <v>2268695</v>
      </c>
      <c r="E193" s="42">
        <v>3089</v>
      </c>
      <c r="F193" s="43">
        <v>541</v>
      </c>
      <c r="G193" s="32">
        <f>+'Revised projections 2018'!$K$18</f>
        <v>633</v>
      </c>
      <c r="H193" s="392">
        <f>+'Revised projections 2018'!$S$18</f>
        <v>4962</v>
      </c>
      <c r="I193" s="33">
        <f t="shared" si="100"/>
        <v>9225</v>
      </c>
      <c r="J193" s="56" t="s">
        <v>28</v>
      </c>
      <c r="K193" s="35">
        <f>1961851-C193</f>
        <v>1191518</v>
      </c>
      <c r="L193" s="36" t="s">
        <v>29</v>
      </c>
      <c r="M193" s="37">
        <v>1438149</v>
      </c>
      <c r="N193" s="32">
        <f>+H193</f>
        <v>4962</v>
      </c>
      <c r="O193" s="39">
        <f>M193/N193</f>
        <v>289.83252720677149</v>
      </c>
    </row>
    <row r="194" spans="1:15" x14ac:dyDescent="0.25">
      <c r="A194" s="55" t="s">
        <v>30</v>
      </c>
      <c r="B194" s="133">
        <v>6400000</v>
      </c>
      <c r="C194" s="29">
        <v>0</v>
      </c>
      <c r="D194" s="41">
        <f>B194-C194</f>
        <v>6400000</v>
      </c>
      <c r="E194" s="42">
        <v>3089</v>
      </c>
      <c r="F194" s="43">
        <v>541</v>
      </c>
      <c r="G194" s="32">
        <f>+'Revised projections 2018'!$K$18</f>
        <v>633</v>
      </c>
      <c r="H194" s="392">
        <f>+'Revised projections 2018'!$S$18</f>
        <v>4962</v>
      </c>
      <c r="I194" s="33">
        <f>SUM(E194:H194)</f>
        <v>9225</v>
      </c>
      <c r="J194" s="34">
        <v>0.28699999999999998</v>
      </c>
      <c r="K194" s="35">
        <f t="shared" ref="K194" si="104">D194*J194</f>
        <v>1836799.9999999998</v>
      </c>
      <c r="L194" s="36">
        <v>0.71299999999999997</v>
      </c>
      <c r="M194" s="37">
        <f t="shared" ref="M194" si="105">L194*D194</f>
        <v>4563200</v>
      </c>
      <c r="N194" s="32">
        <f>+H194</f>
        <v>4962</v>
      </c>
      <c r="O194" s="39">
        <f>M194/N194</f>
        <v>919.62918178153973</v>
      </c>
    </row>
    <row r="195" spans="1:15" x14ac:dyDescent="0.25">
      <c r="A195" s="57" t="s">
        <v>31</v>
      </c>
      <c r="B195" s="58">
        <f>SUM(B188:B194)</f>
        <v>27871906.225000001</v>
      </c>
      <c r="C195" s="58">
        <f>SUM(C188:C194)</f>
        <v>2245333</v>
      </c>
      <c r="D195" s="59">
        <f>SUM(D188:D194)</f>
        <v>25626573.225000001</v>
      </c>
      <c r="E195" s="60"/>
      <c r="F195" s="61"/>
      <c r="G195" s="61"/>
      <c r="H195" s="61"/>
      <c r="I195" s="62"/>
      <c r="J195" s="63"/>
      <c r="K195" s="58">
        <f>SUM(K188:K194)</f>
        <v>7895229.0505750002</v>
      </c>
      <c r="L195" s="64"/>
      <c r="M195" s="58">
        <f>SUM(M188:M194)</f>
        <v>18092316.174424998</v>
      </c>
      <c r="N195" s="65"/>
      <c r="O195" s="66">
        <f>SUM(O188:O194)</f>
        <v>3646.1741584895199</v>
      </c>
    </row>
    <row r="196" spans="1:15" x14ac:dyDescent="0.25">
      <c r="B196" s="68"/>
      <c r="C196" s="68"/>
      <c r="D196" s="68"/>
      <c r="E196" s="69"/>
      <c r="F196" s="68"/>
      <c r="G196" s="68"/>
      <c r="H196" s="68"/>
      <c r="I196" s="70"/>
      <c r="J196" s="69"/>
      <c r="K196" s="68"/>
      <c r="L196" s="68"/>
      <c r="M196" s="68"/>
      <c r="N196" s="68"/>
      <c r="O196" s="70"/>
    </row>
    <row r="197" spans="1:15" x14ac:dyDescent="0.25">
      <c r="A197" s="71" t="s">
        <v>32</v>
      </c>
      <c r="B197" s="72"/>
      <c r="C197" s="72"/>
      <c r="D197" s="72"/>
      <c r="E197" s="73"/>
      <c r="F197" s="74"/>
      <c r="G197" s="74"/>
      <c r="H197" s="74"/>
      <c r="I197" s="75"/>
      <c r="J197" s="76"/>
      <c r="K197" s="77"/>
      <c r="L197" s="78"/>
      <c r="M197" s="72"/>
      <c r="N197" s="79"/>
      <c r="O197" s="80"/>
    </row>
    <row r="198" spans="1:15" ht="28.5" x14ac:dyDescent="0.25">
      <c r="A198" s="40" t="s">
        <v>35</v>
      </c>
      <c r="B198" s="29">
        <f>+(9100000*3.305%)*7</f>
        <v>2105285</v>
      </c>
      <c r="C198" s="29">
        <v>0</v>
      </c>
      <c r="D198" s="41">
        <f t="shared" ref="D198:D199" si="106">B198-C198</f>
        <v>2105285</v>
      </c>
      <c r="E198" s="42"/>
      <c r="F198" s="43"/>
      <c r="G198" s="43"/>
      <c r="H198" s="43"/>
      <c r="I198" s="147"/>
      <c r="J198" s="84">
        <v>0</v>
      </c>
      <c r="K198" s="83">
        <v>0</v>
      </c>
      <c r="L198" s="84">
        <v>1</v>
      </c>
      <c r="M198" s="29">
        <f>B198*L198</f>
        <v>2105285</v>
      </c>
      <c r="N198" s="43">
        <f>+'Revised projections 2018'!$S$18</f>
        <v>4962</v>
      </c>
      <c r="O198" s="39">
        <f>M198/N198</f>
        <v>424.28153970173315</v>
      </c>
    </row>
    <row r="199" spans="1:15" ht="42.75" x14ac:dyDescent="0.25">
      <c r="A199" s="40" t="s">
        <v>45</v>
      </c>
      <c r="B199" s="29">
        <f>70500*7</f>
        <v>493500</v>
      </c>
      <c r="C199" s="29">
        <v>0</v>
      </c>
      <c r="D199" s="41">
        <f t="shared" si="106"/>
        <v>493500</v>
      </c>
      <c r="E199" s="42"/>
      <c r="F199" s="43"/>
      <c r="G199" s="43"/>
      <c r="H199" s="43"/>
      <c r="I199" s="81"/>
      <c r="J199" s="85">
        <v>0</v>
      </c>
      <c r="K199" s="35">
        <v>0</v>
      </c>
      <c r="L199" s="36">
        <v>1</v>
      </c>
      <c r="M199" s="37">
        <f>B199*L199</f>
        <v>493500</v>
      </c>
      <c r="N199" s="32">
        <f>+'Revised projections 2018'!$S$18</f>
        <v>4962</v>
      </c>
      <c r="O199" s="39">
        <f>M199/N199</f>
        <v>99.455864570737603</v>
      </c>
    </row>
    <row r="200" spans="1:15" x14ac:dyDescent="0.25">
      <c r="A200" s="57" t="s">
        <v>37</v>
      </c>
      <c r="B200" s="86">
        <f>SUM(B198:B199)</f>
        <v>2598785</v>
      </c>
      <c r="C200" s="86">
        <f>SUM(C198:C199)</f>
        <v>0</v>
      </c>
      <c r="D200" s="87">
        <f>SUM(D198:D199)</f>
        <v>2598785</v>
      </c>
      <c r="E200" s="60"/>
      <c r="F200" s="61"/>
      <c r="G200" s="61"/>
      <c r="H200" s="61"/>
      <c r="I200" s="62"/>
      <c r="J200" s="63"/>
      <c r="K200" s="86">
        <f>SUM(K198:K199)</f>
        <v>0</v>
      </c>
      <c r="L200" s="64"/>
      <c r="M200" s="58">
        <f>SUM(M198:M199)</f>
        <v>2598785</v>
      </c>
      <c r="N200" s="65">
        <v>4962</v>
      </c>
      <c r="O200" s="66">
        <f>SUM(O198:O199)</f>
        <v>523.73740427247071</v>
      </c>
    </row>
    <row r="201" spans="1:15" x14ac:dyDescent="0.25">
      <c r="A201" s="88"/>
      <c r="B201" s="89"/>
      <c r="C201" s="89"/>
      <c r="D201" s="89"/>
      <c r="E201" s="90"/>
      <c r="F201" s="91"/>
      <c r="G201" s="91"/>
      <c r="H201" s="91"/>
      <c r="I201" s="92"/>
      <c r="J201" s="93"/>
      <c r="K201" s="89"/>
      <c r="L201" s="94"/>
      <c r="M201" s="95"/>
      <c r="N201" s="96"/>
      <c r="O201" s="97"/>
    </row>
    <row r="202" spans="1:15" x14ac:dyDescent="0.25">
      <c r="A202" s="71" t="s">
        <v>46</v>
      </c>
      <c r="B202" s="89"/>
      <c r="C202" s="89"/>
      <c r="D202" s="89"/>
      <c r="E202" s="90"/>
      <c r="F202" s="91"/>
      <c r="G202" s="91"/>
      <c r="H202" s="91"/>
      <c r="I202" s="92"/>
      <c r="J202" s="93"/>
      <c r="K202" s="89"/>
      <c r="L202" s="94"/>
      <c r="M202" s="95"/>
      <c r="N202" s="96"/>
      <c r="O202" s="97"/>
    </row>
    <row r="203" spans="1:15" x14ac:dyDescent="0.25">
      <c r="A203" s="98" t="s">
        <v>39</v>
      </c>
      <c r="B203" s="99"/>
      <c r="C203" s="100"/>
      <c r="D203" s="101"/>
      <c r="E203" s="102"/>
      <c r="F203" s="103"/>
      <c r="G203" s="103"/>
      <c r="H203" s="103"/>
      <c r="I203" s="104"/>
      <c r="J203" s="105"/>
      <c r="K203" s="106">
        <v>0</v>
      </c>
      <c r="L203" s="107"/>
      <c r="M203" s="106">
        <v>-2410775</v>
      </c>
      <c r="N203" s="43">
        <f>+'Revised projections 2018'!$S$18</f>
        <v>4962</v>
      </c>
      <c r="O203" s="39">
        <f>M203/N203</f>
        <v>-485.84744054816605</v>
      </c>
    </row>
    <row r="204" spans="1:15" x14ac:dyDescent="0.25">
      <c r="A204" s="98" t="s">
        <v>40</v>
      </c>
      <c r="B204" s="99"/>
      <c r="C204" s="100"/>
      <c r="D204" s="101"/>
      <c r="E204" s="102"/>
      <c r="F204" s="103"/>
      <c r="G204" s="103"/>
      <c r="H204" s="103"/>
      <c r="I204" s="104"/>
      <c r="J204" s="108"/>
      <c r="K204" s="109">
        <v>0</v>
      </c>
      <c r="L204" s="107"/>
      <c r="M204" s="109">
        <v>-132416.53</v>
      </c>
      <c r="N204" s="32">
        <f>+'Revised projections 2018'!$S$18</f>
        <v>4962</v>
      </c>
      <c r="O204" s="39">
        <f>M204/N204</f>
        <v>-26.686120515921001</v>
      </c>
    </row>
    <row r="205" spans="1:15" x14ac:dyDescent="0.25">
      <c r="A205" s="98" t="s">
        <v>47</v>
      </c>
      <c r="B205" s="99"/>
      <c r="C205" s="100"/>
      <c r="D205" s="101"/>
      <c r="E205" s="102"/>
      <c r="F205" s="103"/>
      <c r="G205" s="103"/>
      <c r="H205" s="103"/>
      <c r="I205" s="104"/>
      <c r="J205" s="108"/>
      <c r="K205" s="109"/>
      <c r="L205" s="107"/>
      <c r="M205" s="109">
        <v>251224.2</v>
      </c>
      <c r="N205" s="32">
        <f>+'Revised projections 2018'!$S$18</f>
        <v>4962</v>
      </c>
      <c r="O205" s="39">
        <f t="shared" ref="O205:O206" si="107">M205/N205</f>
        <v>50.62962515114873</v>
      </c>
    </row>
    <row r="206" spans="1:15" x14ac:dyDescent="0.25">
      <c r="A206" s="98" t="s">
        <v>48</v>
      </c>
      <c r="B206" s="99"/>
      <c r="C206" s="100"/>
      <c r="D206" s="101"/>
      <c r="E206" s="102"/>
      <c r="F206" s="103"/>
      <c r="G206" s="103"/>
      <c r="H206" s="103"/>
      <c r="I206" s="104"/>
      <c r="J206" s="108"/>
      <c r="K206" s="109"/>
      <c r="L206" s="107"/>
      <c r="M206" s="109">
        <f>195167+46</f>
        <v>195213</v>
      </c>
      <c r="N206" s="32">
        <f>+'Revised projections 2018'!$S$18</f>
        <v>4962</v>
      </c>
      <c r="O206" s="39">
        <f t="shared" si="107"/>
        <v>39.341596130592499</v>
      </c>
    </row>
    <row r="207" spans="1:15" x14ac:dyDescent="0.25">
      <c r="A207" s="57" t="s">
        <v>41</v>
      </c>
      <c r="B207" s="86"/>
      <c r="C207" s="86"/>
      <c r="D207" s="87"/>
      <c r="E207" s="60"/>
      <c r="F207" s="61"/>
      <c r="G207" s="61"/>
      <c r="H207" s="61"/>
      <c r="I207" s="62"/>
      <c r="J207" s="63"/>
      <c r="K207" s="86">
        <f>SUM(K203:K204)</f>
        <v>0</v>
      </c>
      <c r="L207" s="64"/>
      <c r="M207" s="58">
        <f>SUM(M203:M206)</f>
        <v>-2096754.3299999996</v>
      </c>
      <c r="N207" s="65">
        <v>4962</v>
      </c>
      <c r="O207" s="66">
        <f>SUM(O203:O206)</f>
        <v>-422.56233978234582</v>
      </c>
    </row>
    <row r="208" spans="1:15" x14ac:dyDescent="0.25">
      <c r="B208" s="99"/>
      <c r="C208" s="99"/>
      <c r="D208" s="68"/>
      <c r="E208" s="69"/>
      <c r="F208" s="68"/>
      <c r="G208" s="68"/>
      <c r="H208" s="68"/>
      <c r="I208" s="70"/>
      <c r="J208" s="69"/>
      <c r="K208" s="68"/>
      <c r="L208" s="68"/>
      <c r="M208" s="68"/>
      <c r="N208" s="68"/>
      <c r="O208" s="70"/>
    </row>
    <row r="209" spans="1:15" ht="15.75" thickBot="1" x14ac:dyDescent="0.3">
      <c r="A209" s="110" t="s">
        <v>42</v>
      </c>
      <c r="B209" s="111"/>
      <c r="C209" s="111"/>
      <c r="D209" s="112"/>
      <c r="E209" s="113"/>
      <c r="F209" s="114"/>
      <c r="G209" s="114"/>
      <c r="H209" s="114"/>
      <c r="I209" s="115"/>
      <c r="J209" s="116"/>
      <c r="K209" s="117">
        <f>SUM(K195,K200,K207)</f>
        <v>7895229.0505750002</v>
      </c>
      <c r="L209" s="118"/>
      <c r="M209" s="117">
        <f>SUM(M195,M200,M207)</f>
        <v>18594346.844425</v>
      </c>
      <c r="N209" s="119">
        <v>4962</v>
      </c>
      <c r="O209" s="120">
        <f>SUM(O195,O200,O207)</f>
        <v>3747.3492229796448</v>
      </c>
    </row>
    <row r="211" spans="1:15" x14ac:dyDescent="0.25">
      <c r="A211" t="s">
        <v>188</v>
      </c>
    </row>
    <row r="212" spans="1:15" x14ac:dyDescent="0.25">
      <c r="A212" t="s">
        <v>189</v>
      </c>
    </row>
  </sheetData>
  <mergeCells count="36">
    <mergeCell ref="B183:C183"/>
    <mergeCell ref="E183:I183"/>
    <mergeCell ref="J183:O183"/>
    <mergeCell ref="A141:H141"/>
    <mergeCell ref="B142:D142"/>
    <mergeCell ref="E142:G142"/>
    <mergeCell ref="BG34:BK34"/>
    <mergeCell ref="BL34:BQ34"/>
    <mergeCell ref="X35:AA35"/>
    <mergeCell ref="B72:D72"/>
    <mergeCell ref="G72:H72"/>
    <mergeCell ref="I72:J72"/>
    <mergeCell ref="M72:N72"/>
    <mergeCell ref="O72:P72"/>
    <mergeCell ref="T34:U34"/>
    <mergeCell ref="W34:AA34"/>
    <mergeCell ref="AB34:AG34"/>
    <mergeCell ref="AL34:AM34"/>
    <mergeCell ref="AO34:AS34"/>
    <mergeCell ref="AT34:AY34"/>
    <mergeCell ref="B34:C34"/>
    <mergeCell ref="E34:I34"/>
    <mergeCell ref="J34:O34"/>
    <mergeCell ref="C114:E114"/>
    <mergeCell ref="BD34:BE34"/>
    <mergeCell ref="C79:D79"/>
    <mergeCell ref="G79:H79"/>
    <mergeCell ref="I79:J79"/>
    <mergeCell ref="M79:N79"/>
    <mergeCell ref="O79:P79"/>
    <mergeCell ref="A1:O1"/>
    <mergeCell ref="A32:O32"/>
    <mergeCell ref="BC32:BQ32"/>
    <mergeCell ref="B3:C3"/>
    <mergeCell ref="E3:I3"/>
    <mergeCell ref="J3:O3"/>
  </mergeCells>
  <pageMargins left="0.70866141732283472" right="0.70866141732283472" top="0.74803149606299213" bottom="0.74803149606299213" header="0.31496062992125984" footer="0.31496062992125984"/>
  <pageSetup paperSize="8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15" sqref="D15"/>
    </sheetView>
  </sheetViews>
  <sheetFormatPr defaultRowHeight="15" x14ac:dyDescent="0.25"/>
  <cols>
    <col min="1" max="1" width="10.140625" bestFit="1" customWidth="1"/>
  </cols>
  <sheetData>
    <row r="1" spans="1:8" x14ac:dyDescent="0.25">
      <c r="A1" t="s">
        <v>161</v>
      </c>
      <c r="B1" t="s">
        <v>162</v>
      </c>
      <c r="C1" t="s">
        <v>163</v>
      </c>
      <c r="D1" t="s">
        <v>164</v>
      </c>
      <c r="G1" t="s">
        <v>145</v>
      </c>
      <c r="H1" t="s">
        <v>168</v>
      </c>
    </row>
    <row r="2" spans="1:8" x14ac:dyDescent="0.25">
      <c r="A2" t="s">
        <v>165</v>
      </c>
      <c r="B2" t="s">
        <v>166</v>
      </c>
      <c r="C2">
        <v>2016</v>
      </c>
      <c r="D2">
        <v>1326</v>
      </c>
      <c r="E2" t="s">
        <v>167</v>
      </c>
      <c r="F2">
        <v>3641</v>
      </c>
      <c r="G2">
        <f>+F2+D2</f>
        <v>4967</v>
      </c>
    </row>
    <row r="3" spans="1:8" x14ac:dyDescent="0.25">
      <c r="A3" t="s">
        <v>165</v>
      </c>
      <c r="B3" t="s">
        <v>166</v>
      </c>
      <c r="C3">
        <v>2017</v>
      </c>
      <c r="D3">
        <v>1428</v>
      </c>
      <c r="E3" t="s">
        <v>167</v>
      </c>
      <c r="F3">
        <v>3986</v>
      </c>
      <c r="G3">
        <f t="shared" ref="G3:G27" si="0">+F3+D3</f>
        <v>5414</v>
      </c>
      <c r="H3">
        <f>+G3-G2</f>
        <v>447</v>
      </c>
    </row>
    <row r="4" spans="1:8" x14ac:dyDescent="0.25">
      <c r="A4" t="s">
        <v>165</v>
      </c>
      <c r="B4" t="s">
        <v>166</v>
      </c>
      <c r="C4">
        <v>2018</v>
      </c>
      <c r="D4">
        <v>1502</v>
      </c>
      <c r="E4" t="s">
        <v>167</v>
      </c>
      <c r="F4">
        <v>4267</v>
      </c>
      <c r="G4">
        <f t="shared" si="0"/>
        <v>5769</v>
      </c>
      <c r="H4">
        <f t="shared" ref="H4:H27" si="1">+G4-G3</f>
        <v>355</v>
      </c>
    </row>
    <row r="5" spans="1:8" x14ac:dyDescent="0.25">
      <c r="A5" t="s">
        <v>165</v>
      </c>
      <c r="B5" t="s">
        <v>166</v>
      </c>
      <c r="C5">
        <v>2019</v>
      </c>
      <c r="D5">
        <v>1595</v>
      </c>
      <c r="E5" t="s">
        <v>167</v>
      </c>
      <c r="F5">
        <v>4552</v>
      </c>
      <c r="G5">
        <f t="shared" si="0"/>
        <v>6147</v>
      </c>
      <c r="H5">
        <f t="shared" si="1"/>
        <v>378</v>
      </c>
    </row>
    <row r="6" spans="1:8" x14ac:dyDescent="0.25">
      <c r="A6" t="s">
        <v>165</v>
      </c>
      <c r="B6" t="s">
        <v>166</v>
      </c>
      <c r="C6">
        <v>2020</v>
      </c>
      <c r="D6">
        <v>1703</v>
      </c>
      <c r="E6" t="s">
        <v>167</v>
      </c>
      <c r="F6">
        <v>4867</v>
      </c>
      <c r="G6">
        <f t="shared" si="0"/>
        <v>6570</v>
      </c>
      <c r="H6">
        <f t="shared" si="1"/>
        <v>423</v>
      </c>
    </row>
    <row r="7" spans="1:8" x14ac:dyDescent="0.25">
      <c r="A7" t="s">
        <v>165</v>
      </c>
      <c r="B7" t="s">
        <v>166</v>
      </c>
      <c r="C7">
        <v>2021</v>
      </c>
      <c r="D7">
        <v>1816</v>
      </c>
      <c r="E7" t="s">
        <v>167</v>
      </c>
      <c r="F7">
        <v>5195</v>
      </c>
      <c r="G7">
        <f t="shared" si="0"/>
        <v>7011</v>
      </c>
      <c r="H7">
        <f t="shared" si="1"/>
        <v>441</v>
      </c>
    </row>
    <row r="8" spans="1:8" x14ac:dyDescent="0.25">
      <c r="A8" t="s">
        <v>165</v>
      </c>
      <c r="B8" t="s">
        <v>166</v>
      </c>
      <c r="C8">
        <v>2022</v>
      </c>
      <c r="D8">
        <v>1934</v>
      </c>
      <c r="E8" t="s">
        <v>167</v>
      </c>
      <c r="F8">
        <v>5525</v>
      </c>
      <c r="G8">
        <f t="shared" si="0"/>
        <v>7459</v>
      </c>
      <c r="H8">
        <f t="shared" si="1"/>
        <v>448</v>
      </c>
    </row>
    <row r="9" spans="1:8" x14ac:dyDescent="0.25">
      <c r="A9" t="s">
        <v>165</v>
      </c>
      <c r="B9" t="s">
        <v>166</v>
      </c>
      <c r="C9">
        <v>2023</v>
      </c>
      <c r="D9">
        <v>2057</v>
      </c>
      <c r="E9" t="s">
        <v>167</v>
      </c>
      <c r="F9">
        <v>5857</v>
      </c>
      <c r="G9">
        <f t="shared" si="0"/>
        <v>7914</v>
      </c>
      <c r="H9">
        <f t="shared" si="1"/>
        <v>455</v>
      </c>
    </row>
    <row r="10" spans="1:8" x14ac:dyDescent="0.25">
      <c r="A10" t="s">
        <v>165</v>
      </c>
      <c r="B10" t="s">
        <v>166</v>
      </c>
      <c r="C10">
        <v>2024</v>
      </c>
      <c r="D10">
        <v>2190</v>
      </c>
      <c r="E10" t="s">
        <v>167</v>
      </c>
      <c r="F10">
        <v>6210</v>
      </c>
      <c r="G10">
        <f t="shared" si="0"/>
        <v>8400</v>
      </c>
      <c r="H10">
        <f t="shared" si="1"/>
        <v>486</v>
      </c>
    </row>
    <row r="11" spans="1:8" x14ac:dyDescent="0.25">
      <c r="A11" t="s">
        <v>165</v>
      </c>
      <c r="B11" t="s">
        <v>166</v>
      </c>
      <c r="C11">
        <v>2025</v>
      </c>
      <c r="D11">
        <v>2328</v>
      </c>
      <c r="E11" t="s">
        <v>167</v>
      </c>
      <c r="F11">
        <v>6593</v>
      </c>
      <c r="G11">
        <f t="shared" si="0"/>
        <v>8921</v>
      </c>
      <c r="H11">
        <f t="shared" si="1"/>
        <v>521</v>
      </c>
    </row>
    <row r="12" spans="1:8" x14ac:dyDescent="0.25">
      <c r="A12" t="s">
        <v>165</v>
      </c>
      <c r="B12" t="s">
        <v>166</v>
      </c>
      <c r="C12">
        <v>2026</v>
      </c>
      <c r="D12">
        <v>2470</v>
      </c>
      <c r="E12" t="s">
        <v>167</v>
      </c>
      <c r="F12">
        <v>7012</v>
      </c>
      <c r="G12">
        <f t="shared" si="0"/>
        <v>9482</v>
      </c>
      <c r="H12">
        <f t="shared" si="1"/>
        <v>561</v>
      </c>
    </row>
    <row r="13" spans="1:8" x14ac:dyDescent="0.25">
      <c r="A13" t="s">
        <v>165</v>
      </c>
      <c r="B13" t="s">
        <v>166</v>
      </c>
      <c r="C13">
        <v>2027</v>
      </c>
      <c r="D13">
        <v>2614</v>
      </c>
      <c r="E13" t="s">
        <v>167</v>
      </c>
      <c r="F13">
        <v>7464</v>
      </c>
      <c r="G13">
        <f t="shared" si="0"/>
        <v>10078</v>
      </c>
      <c r="H13">
        <f t="shared" si="1"/>
        <v>596</v>
      </c>
    </row>
    <row r="14" spans="1:8" x14ac:dyDescent="0.25">
      <c r="A14" t="s">
        <v>165</v>
      </c>
      <c r="B14" t="s">
        <v>166</v>
      </c>
      <c r="C14">
        <v>2028</v>
      </c>
      <c r="D14">
        <v>2759</v>
      </c>
      <c r="E14" t="s">
        <v>167</v>
      </c>
      <c r="F14">
        <v>7959</v>
      </c>
      <c r="G14">
        <f t="shared" si="0"/>
        <v>10718</v>
      </c>
      <c r="H14">
        <f t="shared" si="1"/>
        <v>640</v>
      </c>
    </row>
    <row r="15" spans="1:8" x14ac:dyDescent="0.25">
      <c r="A15" t="s">
        <v>165</v>
      </c>
      <c r="B15" t="s">
        <v>166</v>
      </c>
      <c r="C15">
        <v>2029</v>
      </c>
      <c r="D15">
        <v>2914</v>
      </c>
      <c r="E15" t="s">
        <v>167</v>
      </c>
      <c r="F15">
        <v>8494</v>
      </c>
      <c r="G15">
        <f t="shared" si="0"/>
        <v>11408</v>
      </c>
      <c r="H15">
        <f t="shared" si="1"/>
        <v>690</v>
      </c>
    </row>
    <row r="16" spans="1:8" x14ac:dyDescent="0.25">
      <c r="A16" t="s">
        <v>165</v>
      </c>
      <c r="B16" t="s">
        <v>166</v>
      </c>
      <c r="C16">
        <v>2030</v>
      </c>
      <c r="D16">
        <v>3079</v>
      </c>
      <c r="E16" t="s">
        <v>167</v>
      </c>
      <c r="F16">
        <v>9059</v>
      </c>
      <c r="G16">
        <f t="shared" si="0"/>
        <v>12138</v>
      </c>
      <c r="H16">
        <f t="shared" si="1"/>
        <v>730</v>
      </c>
    </row>
    <row r="17" spans="1:8" x14ac:dyDescent="0.25">
      <c r="A17" t="s">
        <v>165</v>
      </c>
      <c r="B17" t="s">
        <v>166</v>
      </c>
      <c r="C17">
        <v>2031</v>
      </c>
      <c r="D17">
        <v>3264</v>
      </c>
      <c r="E17" t="s">
        <v>167</v>
      </c>
      <c r="F17">
        <v>9654</v>
      </c>
      <c r="G17">
        <f t="shared" si="0"/>
        <v>12918</v>
      </c>
      <c r="H17">
        <f t="shared" si="1"/>
        <v>780</v>
      </c>
    </row>
    <row r="18" spans="1:8" x14ac:dyDescent="0.25">
      <c r="A18" t="s">
        <v>165</v>
      </c>
      <c r="B18" t="s">
        <v>166</v>
      </c>
      <c r="C18">
        <v>2032</v>
      </c>
      <c r="D18">
        <v>3469</v>
      </c>
      <c r="E18" t="s">
        <v>167</v>
      </c>
      <c r="F18">
        <v>10279</v>
      </c>
      <c r="G18">
        <f t="shared" si="0"/>
        <v>13748</v>
      </c>
      <c r="H18">
        <f t="shared" si="1"/>
        <v>830</v>
      </c>
    </row>
    <row r="19" spans="1:8" x14ac:dyDescent="0.25">
      <c r="A19" t="s">
        <v>165</v>
      </c>
      <c r="B19" t="s">
        <v>166</v>
      </c>
      <c r="C19">
        <v>2033</v>
      </c>
      <c r="D19">
        <v>3694</v>
      </c>
      <c r="E19" t="s">
        <v>167</v>
      </c>
      <c r="F19">
        <v>10949</v>
      </c>
      <c r="G19">
        <f t="shared" si="0"/>
        <v>14643</v>
      </c>
      <c r="H19">
        <f t="shared" si="1"/>
        <v>895</v>
      </c>
    </row>
    <row r="20" spans="1:8" x14ac:dyDescent="0.25">
      <c r="A20" t="s">
        <v>165</v>
      </c>
      <c r="B20" t="s">
        <v>166</v>
      </c>
      <c r="C20">
        <v>2034</v>
      </c>
      <c r="D20">
        <v>3949</v>
      </c>
      <c r="E20" t="s">
        <v>167</v>
      </c>
      <c r="F20">
        <v>11659</v>
      </c>
      <c r="G20">
        <f t="shared" si="0"/>
        <v>15608</v>
      </c>
      <c r="H20">
        <f t="shared" si="1"/>
        <v>965</v>
      </c>
    </row>
    <row r="21" spans="1:8" x14ac:dyDescent="0.25">
      <c r="A21" t="s">
        <v>165</v>
      </c>
      <c r="B21" t="s">
        <v>166</v>
      </c>
      <c r="C21">
        <v>2035</v>
      </c>
      <c r="D21">
        <v>4254</v>
      </c>
      <c r="E21" t="s">
        <v>167</v>
      </c>
      <c r="F21">
        <v>12415</v>
      </c>
      <c r="G21">
        <f t="shared" si="0"/>
        <v>16669</v>
      </c>
      <c r="H21">
        <f t="shared" si="1"/>
        <v>1061</v>
      </c>
    </row>
    <row r="22" spans="1:8" x14ac:dyDescent="0.25">
      <c r="A22" t="s">
        <v>165</v>
      </c>
      <c r="B22" t="s">
        <v>166</v>
      </c>
      <c r="C22">
        <v>2036</v>
      </c>
      <c r="D22">
        <v>4619</v>
      </c>
      <c r="E22" t="s">
        <v>167</v>
      </c>
      <c r="F22">
        <v>13232</v>
      </c>
      <c r="G22">
        <f t="shared" si="0"/>
        <v>17851</v>
      </c>
      <c r="H22">
        <f t="shared" si="1"/>
        <v>1182</v>
      </c>
    </row>
    <row r="23" spans="1:8" x14ac:dyDescent="0.25">
      <c r="A23" t="s">
        <v>165</v>
      </c>
      <c r="B23" t="s">
        <v>166</v>
      </c>
      <c r="C23">
        <v>2037</v>
      </c>
      <c r="D23">
        <v>5074</v>
      </c>
      <c r="E23" t="s">
        <v>167</v>
      </c>
      <c r="F23">
        <v>14087</v>
      </c>
      <c r="G23">
        <f t="shared" si="0"/>
        <v>19161</v>
      </c>
      <c r="H23">
        <f t="shared" si="1"/>
        <v>1310</v>
      </c>
    </row>
    <row r="24" spans="1:8" x14ac:dyDescent="0.25">
      <c r="A24" t="s">
        <v>165</v>
      </c>
      <c r="B24" t="s">
        <v>166</v>
      </c>
      <c r="C24">
        <v>2038</v>
      </c>
      <c r="D24">
        <v>5579</v>
      </c>
      <c r="E24" t="s">
        <v>167</v>
      </c>
      <c r="F24">
        <v>14962</v>
      </c>
      <c r="G24">
        <f t="shared" si="0"/>
        <v>20541</v>
      </c>
      <c r="H24">
        <f t="shared" si="1"/>
        <v>1380</v>
      </c>
    </row>
    <row r="25" spans="1:8" x14ac:dyDescent="0.25">
      <c r="A25" t="s">
        <v>165</v>
      </c>
      <c r="B25" t="s">
        <v>166</v>
      </c>
      <c r="C25">
        <v>2039</v>
      </c>
      <c r="D25">
        <v>6094</v>
      </c>
      <c r="E25" t="s">
        <v>167</v>
      </c>
      <c r="F25">
        <v>15852</v>
      </c>
      <c r="G25">
        <f t="shared" si="0"/>
        <v>21946</v>
      </c>
      <c r="H25">
        <f t="shared" si="1"/>
        <v>1405</v>
      </c>
    </row>
    <row r="26" spans="1:8" x14ac:dyDescent="0.25">
      <c r="A26" t="s">
        <v>165</v>
      </c>
      <c r="B26" t="s">
        <v>166</v>
      </c>
      <c r="C26">
        <v>2040</v>
      </c>
      <c r="D26">
        <v>6624</v>
      </c>
      <c r="E26" t="s">
        <v>167</v>
      </c>
      <c r="F26">
        <v>16785</v>
      </c>
      <c r="G26">
        <f t="shared" si="0"/>
        <v>23409</v>
      </c>
      <c r="H26">
        <f t="shared" si="1"/>
        <v>1463</v>
      </c>
    </row>
    <row r="27" spans="1:8" x14ac:dyDescent="0.25">
      <c r="A27" t="s">
        <v>165</v>
      </c>
      <c r="B27" t="s">
        <v>166</v>
      </c>
      <c r="C27">
        <v>2041</v>
      </c>
      <c r="D27">
        <v>7159</v>
      </c>
      <c r="E27" t="s">
        <v>167</v>
      </c>
      <c r="F27">
        <v>17722</v>
      </c>
      <c r="G27">
        <f t="shared" si="0"/>
        <v>24881</v>
      </c>
      <c r="H27">
        <f t="shared" si="1"/>
        <v>1472</v>
      </c>
    </row>
    <row r="30" spans="1:8" x14ac:dyDescent="0.25">
      <c r="D30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Revised projections 2018</vt:lpstr>
      <vt:lpstr>Revised-Cost Apportionment</vt:lpstr>
      <vt:lpstr>ForecastDataExport</vt:lpstr>
      <vt:lpstr>'Revised-Cost Apportionment'!Print_Titles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Hafenscher, Jeannette</dc:creator>
  <cp:lastModifiedBy>Steyntjes, John</cp:lastModifiedBy>
  <cp:lastPrinted>2018-04-09T04:00:56Z</cp:lastPrinted>
  <dcterms:created xsi:type="dcterms:W3CDTF">2018-03-27T01:07:41Z</dcterms:created>
  <dcterms:modified xsi:type="dcterms:W3CDTF">2018-05-11T05:50:43Z</dcterms:modified>
</cp:coreProperties>
</file>